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codeName="ThisWorkbook" defaultThemeVersion="123820"/>
  <mc:AlternateContent xmlns:mc="http://schemas.openxmlformats.org/markup-compatibility/2006">
    <mc:Choice Requires="x15">
      <x15ac:absPath xmlns:x15ac="http://schemas.microsoft.com/office/spreadsheetml/2010/11/ac" url="C:\Users\local_dh0x\Dropbox\Nassington PC\Accounts &amp; Audit\2023_24\Audit\"/>
    </mc:Choice>
  </mc:AlternateContent>
  <xr:revisionPtr revIDLastSave="0" documentId="13_ncr:1_{B1B8F7E8-6F41-4506-A714-4DFC07790CD3}" xr6:coauthVersionLast="47" xr6:coauthVersionMax="47" xr10:uidLastSave="{00000000-0000-0000-0000-000000000000}"/>
  <workbookProtection workbookAlgorithmName="SHA-512" workbookHashValue="CMGpWsOKe6sQGMFweA91VkvqpkHyYz0pfni25R/+UONisPRVZ/GleAYClG9UAoJY1Eu0AVau7OKIQ/zLb/+vFQ==" workbookSaltValue="MwVYoyWH6zulrgb0yFK6og==" workbookSpinCount="100000" lockStructure="1"/>
  <bookViews>
    <workbookView xWindow="-108" yWindow="-108" windowWidth="23256" windowHeight="13896" tabRatio="760" xr2:uid="{00000000-000D-0000-FFFF-FFFF00000000}"/>
  </bookViews>
  <sheets>
    <sheet name="Summary" sheetId="38" r:id="rId1"/>
    <sheet name="Budget Analysis" sheetId="27" r:id="rId2"/>
    <sheet name="Receipts" sheetId="8" r:id="rId3"/>
    <sheet name="Payments" sheetId="10" r:id="rId4"/>
    <sheet name="Balances" sheetId="4" r:id="rId5"/>
    <sheet name="Audit Bank rec" sheetId="35" state="hidden" r:id="rId6"/>
    <sheet name="AED" sheetId="60" state="hidden" r:id="rId7"/>
    <sheet name="Audit reconciliation" sheetId="34" r:id="rId8"/>
    <sheet name="Asset Register" sheetId="28" r:id="rId9"/>
    <sheet name="NPC Explantation of variances" sheetId="62" r:id="rId10"/>
  </sheets>
  <externalReferences>
    <externalReference r:id="rId11"/>
    <externalReference r:id="rId12"/>
    <externalReference r:id="rId13"/>
    <externalReference r:id="rId14"/>
    <externalReference r:id="rId15"/>
    <externalReference r:id="rId16"/>
  </externalReferences>
  <definedNames>
    <definedName name="_cp">#REF!</definedName>
    <definedName name="_xlnm._FilterDatabase" localSheetId="3" hidden="1">Payments!$B$2:$O$100</definedName>
    <definedName name="afsha">#REF!</definedName>
    <definedName name="budg_payts">#REF!</definedName>
    <definedName name="budget">Payments!#REF!</definedName>
    <definedName name="budget_analysis">Payments!#REF!</definedName>
    <definedName name="Budget_payts">#REF!</definedName>
    <definedName name="BudgetAnalysis" localSheetId="8">'[2] budget'!$C$34:$C$38,'[2] budget'!$C$13:$C$32</definedName>
    <definedName name="BudgetAnalysis">#REF!,#REF!</definedName>
    <definedName name="budgetcosts">[3]Payments!#REF!</definedName>
    <definedName name="BudgetHeaders">Payments!#REF!</definedName>
    <definedName name="BudgetList">'[4]Budget control'!$B$4:$B$13</definedName>
    <definedName name="budgets" localSheetId="8">[2]Payments!$R$3:$R$27</definedName>
    <definedName name="budgets">Payments!#REF!</definedName>
    <definedName name="coss">#REF!</definedName>
    <definedName name="costcentre">#REF!</definedName>
    <definedName name="costpoints" localSheetId="8">#REF!</definedName>
    <definedName name="costpoints">Payments!#REF!</definedName>
    <definedName name="costs">#REF!</definedName>
    <definedName name="cp">[1]Payments!#REF!</definedName>
    <definedName name="cp_">[1]Payments!#REF!</definedName>
    <definedName name="CP__">#REF!</definedName>
    <definedName name="CPP">[1]Payments!#REF!</definedName>
    <definedName name="Exp_list">#REF!</definedName>
    <definedName name="expenses">#REF!</definedName>
    <definedName name="exps">#REF!</definedName>
    <definedName name="Exps_list">#REF!</definedName>
    <definedName name="n">#REF!</definedName>
    <definedName name="percent">[5]VARIATIONS!$C$17</definedName>
    <definedName name="precept">#REF!</definedName>
    <definedName name="_xlnm.Print_Area" localSheetId="8">'Asset Register'!$B$2:$M$91</definedName>
    <definedName name="_xlnm.Print_Area" localSheetId="5">'Audit Bank rec'!$C$1:$F$19</definedName>
    <definedName name="_xlnm.Print_Area" localSheetId="7">'Audit reconciliation'!$A$2:$N$15</definedName>
    <definedName name="_xlnm.Print_Area" localSheetId="4">Balances!$A$2:$C$31</definedName>
    <definedName name="_xlnm.Print_Area" localSheetId="1">'Budget Analysis'!$C$3:$O$67</definedName>
    <definedName name="_xlnm.Print_Area" localSheetId="3">Payments!$B$2:$O$145</definedName>
    <definedName name="_xlnm.Print_Area" localSheetId="2">Receipts!$B$1:$M$73</definedName>
    <definedName name="_xlnm.Print_Area" localSheetId="0">Summary!$B$2:$M$18</definedName>
    <definedName name="Salary">[3]Payments!#REF!</definedName>
    <definedName name="ssdfe4w">#REF!</definedName>
    <definedName name="sss">#REF!</definedName>
    <definedName name="ssssssssss">#REF!</definedName>
    <definedName name="v">#REF!</definedName>
    <definedName name="vv">#REF!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62" l="1"/>
  <c r="E41" i="62"/>
  <c r="F40" i="62"/>
  <c r="E40" i="62"/>
  <c r="F39" i="62"/>
  <c r="E39" i="62"/>
  <c r="J38" i="62"/>
  <c r="I38" i="62"/>
  <c r="J35" i="62"/>
  <c r="I35" i="62"/>
  <c r="J34" i="62"/>
  <c r="I34" i="62" s="1"/>
  <c r="J33" i="62"/>
  <c r="J32" i="62"/>
  <c r="I32" i="62"/>
  <c r="J31" i="62"/>
  <c r="J30" i="62"/>
  <c r="I30" i="62" s="1"/>
  <c r="J29" i="62"/>
  <c r="I29" i="62"/>
  <c r="J28" i="62"/>
  <c r="I28" i="62" s="1"/>
  <c r="J27" i="62"/>
  <c r="J26" i="62"/>
  <c r="I26" i="62" s="1"/>
  <c r="J25" i="62"/>
  <c r="I25" i="62"/>
  <c r="J24" i="62"/>
  <c r="I24" i="62"/>
  <c r="J23" i="62"/>
  <c r="I23" i="62"/>
  <c r="J22" i="62"/>
  <c r="I22" i="62" s="1"/>
  <c r="J21" i="62"/>
  <c r="I21" i="62" s="1"/>
  <c r="J20" i="62"/>
  <c r="I20" i="62"/>
  <c r="J19" i="62"/>
  <c r="I19" i="62" s="1"/>
  <c r="J18" i="62"/>
  <c r="I18" i="62"/>
  <c r="J17" i="62"/>
  <c r="I17" i="62"/>
  <c r="J16" i="62"/>
  <c r="I16" i="62"/>
  <c r="J15" i="62"/>
  <c r="I15" i="62"/>
  <c r="J14" i="62"/>
  <c r="I14" i="62" s="1"/>
  <c r="J13" i="62"/>
  <c r="I13" i="62"/>
  <c r="J11" i="62"/>
  <c r="I11" i="62"/>
  <c r="F11" i="62"/>
  <c r="E11" i="62"/>
  <c r="J7" i="62"/>
  <c r="I7" i="62"/>
  <c r="F7" i="62"/>
  <c r="E7" i="62"/>
  <c r="J5" i="62"/>
  <c r="F5" i="62"/>
  <c r="E5" i="62"/>
  <c r="J4" i="62"/>
  <c r="I4" i="62"/>
  <c r="F4" i="62"/>
  <c r="E4" i="62"/>
  <c r="F4" i="4"/>
  <c r="D11" i="34"/>
  <c r="D9" i="34"/>
  <c r="M69" i="8" l="1"/>
  <c r="M165" i="10"/>
  <c r="C165" i="10" s="1"/>
  <c r="L70" i="8"/>
  <c r="K70" i="8"/>
  <c r="J70" i="8"/>
  <c r="I70" i="8"/>
  <c r="H70" i="8"/>
  <c r="G70" i="8"/>
  <c r="F70" i="8"/>
  <c r="E70" i="8"/>
  <c r="M157" i="10"/>
  <c r="M155" i="10"/>
  <c r="M154" i="10"/>
  <c r="M156" i="10"/>
  <c r="N156" i="10" s="1"/>
  <c r="C156" i="10" l="1"/>
  <c r="C154" i="10"/>
  <c r="G75" i="8"/>
  <c r="Q18" i="8"/>
  <c r="M67" i="8" l="1"/>
  <c r="M66" i="8"/>
  <c r="J147" i="10"/>
  <c r="M146" i="10"/>
  <c r="C146" i="10" s="1"/>
  <c r="M145" i="10"/>
  <c r="M144" i="10"/>
  <c r="C144" i="10" l="1"/>
  <c r="Q90" i="10"/>
  <c r="J136" i="10" l="1"/>
  <c r="M135" i="10"/>
  <c r="M134" i="10"/>
  <c r="N134" i="10" s="1"/>
  <c r="I133" i="10"/>
  <c r="M133" i="10" s="1"/>
  <c r="N133" i="10" s="1"/>
  <c r="M132" i="10"/>
  <c r="M131" i="10"/>
  <c r="M130" i="10"/>
  <c r="C130" i="10" l="1"/>
  <c r="C132" i="10"/>
  <c r="X10" i="27" l="1"/>
  <c r="M63" i="8" l="1"/>
  <c r="M62" i="8"/>
  <c r="M61" i="8"/>
  <c r="M60" i="8"/>
  <c r="M65" i="8"/>
  <c r="M64" i="8"/>
  <c r="M59" i="8"/>
  <c r="M58" i="8"/>
  <c r="M124" i="10"/>
  <c r="C124" i="10" s="1"/>
  <c r="M122" i="10"/>
  <c r="N122" i="10" s="1"/>
  <c r="M121" i="10"/>
  <c r="M120" i="10"/>
  <c r="M119" i="10"/>
  <c r="N119" i="10" s="1"/>
  <c r="M118" i="10"/>
  <c r="M117" i="10"/>
  <c r="N67" i="27"/>
  <c r="N55" i="27"/>
  <c r="C119" i="10" l="1"/>
  <c r="C117" i="10"/>
  <c r="M116" i="10"/>
  <c r="M115" i="10"/>
  <c r="N115" i="10" s="1"/>
  <c r="C115" i="10" s="1"/>
  <c r="M114" i="10"/>
  <c r="N114" i="10" s="1"/>
  <c r="C114" i="10" s="1"/>
  <c r="M113" i="10"/>
  <c r="M112" i="10"/>
  <c r="M111" i="10"/>
  <c r="N111" i="10" s="1"/>
  <c r="M110" i="10"/>
  <c r="M109" i="10"/>
  <c r="M108" i="10"/>
  <c r="N108" i="10" s="1"/>
  <c r="M107" i="10"/>
  <c r="M106" i="10"/>
  <c r="M105" i="10"/>
  <c r="M104" i="10"/>
  <c r="M103" i="10"/>
  <c r="M102" i="10"/>
  <c r="M101" i="10"/>
  <c r="M100" i="10"/>
  <c r="M99" i="10"/>
  <c r="M98" i="10"/>
  <c r="M97" i="10"/>
  <c r="M96" i="10"/>
  <c r="M95" i="10"/>
  <c r="M94" i="10"/>
  <c r="M93" i="10"/>
  <c r="M92" i="10"/>
  <c r="M91" i="10"/>
  <c r="M90" i="10"/>
  <c r="M89" i="10"/>
  <c r="M88" i="10"/>
  <c r="M87" i="10"/>
  <c r="M86" i="10"/>
  <c r="M85" i="10"/>
  <c r="M84" i="10"/>
  <c r="M83" i="10"/>
  <c r="M82" i="10"/>
  <c r="M81" i="10"/>
  <c r="M80" i="10"/>
  <c r="M79" i="10"/>
  <c r="M78" i="10"/>
  <c r="M77" i="10"/>
  <c r="M76" i="10"/>
  <c r="M75" i="10"/>
  <c r="M74" i="10"/>
  <c r="M73" i="10"/>
  <c r="M72" i="10"/>
  <c r="M71" i="10"/>
  <c r="M70" i="10"/>
  <c r="M69" i="10"/>
  <c r="M68" i="10"/>
  <c r="M67" i="10"/>
  <c r="M66" i="10"/>
  <c r="M65" i="10"/>
  <c r="M64" i="10"/>
  <c r="M63" i="10"/>
  <c r="M62" i="10"/>
  <c r="M61" i="10"/>
  <c r="M60" i="10"/>
  <c r="M59" i="10"/>
  <c r="M58" i="10"/>
  <c r="M57" i="10"/>
  <c r="M56" i="10"/>
  <c r="C56" i="10" s="1"/>
  <c r="M55" i="10"/>
  <c r="M54" i="10"/>
  <c r="M53" i="10"/>
  <c r="M52" i="10"/>
  <c r="M51" i="10"/>
  <c r="M50" i="10"/>
  <c r="M49" i="10"/>
  <c r="M48" i="10"/>
  <c r="M47" i="10"/>
  <c r="M46" i="10"/>
  <c r="M45" i="10"/>
  <c r="M44" i="10"/>
  <c r="M43" i="10"/>
  <c r="M42" i="10"/>
  <c r="M41" i="10"/>
  <c r="M40" i="10"/>
  <c r="M39" i="10"/>
  <c r="M38" i="10"/>
  <c r="M37" i="10"/>
  <c r="M36" i="10"/>
  <c r="M35" i="10"/>
  <c r="M34" i="10"/>
  <c r="M33" i="10"/>
  <c r="M32" i="10"/>
  <c r="M31" i="10"/>
  <c r="M30" i="10"/>
  <c r="M29" i="10"/>
  <c r="M28" i="10"/>
  <c r="C28" i="10" s="1"/>
  <c r="M27" i="10"/>
  <c r="C27" i="10" s="1"/>
  <c r="M26" i="10"/>
  <c r="M25" i="10"/>
  <c r="M24" i="10"/>
  <c r="M23" i="10"/>
  <c r="C23" i="10" s="1"/>
  <c r="M22" i="10"/>
  <c r="C22" i="10" s="1"/>
  <c r="M21" i="10"/>
  <c r="M20" i="10"/>
  <c r="M19" i="10"/>
  <c r="M18" i="10"/>
  <c r="M17" i="10"/>
  <c r="M16" i="10"/>
  <c r="M15" i="10"/>
  <c r="M14" i="10"/>
  <c r="M13" i="10"/>
  <c r="M12" i="10"/>
  <c r="M11" i="10"/>
  <c r="M10" i="10"/>
  <c r="M9" i="10"/>
  <c r="M8" i="10"/>
  <c r="M7" i="10"/>
  <c r="M6" i="10"/>
  <c r="M5" i="10"/>
  <c r="M4" i="10"/>
  <c r="O20" i="27"/>
  <c r="J32" i="27"/>
  <c r="Q16" i="10" l="1"/>
  <c r="C24" i="10"/>
  <c r="C21" i="10"/>
  <c r="C112" i="10"/>
  <c r="C108" i="10"/>
  <c r="C104" i="10"/>
  <c r="J6" i="27" l="1"/>
  <c r="Q53" i="8"/>
  <c r="Q54" i="8"/>
  <c r="N101" i="10"/>
  <c r="N100" i="10"/>
  <c r="C100" i="10" s="1"/>
  <c r="C99" i="10"/>
  <c r="Q55" i="8" l="1"/>
  <c r="C101" i="10"/>
  <c r="C97" i="10"/>
  <c r="F13" i="27" l="1"/>
  <c r="C80" i="10"/>
  <c r="N79" i="10"/>
  <c r="C79" i="10" s="1"/>
  <c r="C78" i="10"/>
  <c r="C77" i="10"/>
  <c r="N72" i="10"/>
  <c r="N71" i="10"/>
  <c r="C63" i="10"/>
  <c r="N61" i="10"/>
  <c r="C61" i="10" s="1"/>
  <c r="C60" i="10"/>
  <c r="C81" i="10" l="1"/>
  <c r="C92" i="10"/>
  <c r="C73" i="10"/>
  <c r="C50" i="10"/>
  <c r="C57" i="10"/>
  <c r="C66" i="10"/>
  <c r="C54" i="10"/>
  <c r="F60" i="27" l="1"/>
  <c r="F25" i="27"/>
  <c r="F24" i="27" s="1"/>
  <c r="F61" i="27" l="1"/>
  <c r="C13" i="4"/>
  <c r="J219" i="10"/>
  <c r="I219" i="10"/>
  <c r="C52" i="10"/>
  <c r="N42" i="10"/>
  <c r="F62" i="27"/>
  <c r="C42" i="10" l="1"/>
  <c r="C40" i="10"/>
  <c r="C39" i="10" l="1"/>
  <c r="C25" i="10" l="1"/>
  <c r="C17" i="27" l="1"/>
  <c r="N69" i="10"/>
  <c r="F55" i="27"/>
  <c r="F54" i="27"/>
  <c r="F53" i="27"/>
  <c r="F52" i="27"/>
  <c r="F51" i="27"/>
  <c r="F50" i="27"/>
  <c r="F49" i="27"/>
  <c r="F48" i="27"/>
  <c r="F47" i="27"/>
  <c r="F46" i="27"/>
  <c r="F45" i="27"/>
  <c r="F42" i="27"/>
  <c r="F41" i="27"/>
  <c r="F40" i="27"/>
  <c r="F39" i="27"/>
  <c r="F38" i="27"/>
  <c r="F37" i="27"/>
  <c r="F36" i="27"/>
  <c r="F35" i="27"/>
  <c r="F34" i="27"/>
  <c r="F33" i="27"/>
  <c r="F32" i="27"/>
  <c r="F31" i="27"/>
  <c r="F30" i="27"/>
  <c r="F29" i="27"/>
  <c r="F28" i="27"/>
  <c r="F27" i="27"/>
  <c r="F26" i="27"/>
  <c r="F22" i="27"/>
  <c r="F21" i="27"/>
  <c r="F20" i="27"/>
  <c r="E56" i="27"/>
  <c r="F56" i="27" l="1"/>
  <c r="F12" i="27"/>
  <c r="F11" i="27"/>
  <c r="F10" i="27"/>
  <c r="F9" i="27"/>
  <c r="F8" i="27"/>
  <c r="H8" i="27" s="1"/>
  <c r="F7" i="27"/>
  <c r="F6" i="27"/>
  <c r="F5" i="27"/>
  <c r="F3" i="34"/>
  <c r="M217" i="10" l="1"/>
  <c r="C217" i="10" s="1"/>
  <c r="K36" i="28"/>
  <c r="K35" i="28"/>
  <c r="M216" i="10"/>
  <c r="M215" i="10"/>
  <c r="M214" i="10"/>
  <c r="C214" i="10" s="1"/>
  <c r="C215" i="10" l="1"/>
  <c r="M34" i="8" l="1"/>
  <c r="M213" i="10"/>
  <c r="C213" i="10" s="1"/>
  <c r="M212" i="10"/>
  <c r="M209" i="10"/>
  <c r="M208" i="10"/>
  <c r="C212" i="10" l="1"/>
  <c r="C208" i="10"/>
  <c r="M218" i="10" l="1"/>
  <c r="C218" i="10" s="1"/>
  <c r="M211" i="10"/>
  <c r="C211" i="10" s="1"/>
  <c r="M210" i="10"/>
  <c r="M207" i="10"/>
  <c r="C207" i="10" s="1"/>
  <c r="M206" i="10"/>
  <c r="M205" i="10"/>
  <c r="M204" i="10"/>
  <c r="M203" i="10"/>
  <c r="M202" i="10"/>
  <c r="C202" i="10" s="1"/>
  <c r="M199" i="10"/>
  <c r="M198" i="10"/>
  <c r="C203" i="10" l="1"/>
  <c r="C198" i="10"/>
  <c r="C210" i="10"/>
  <c r="C206" i="10"/>
  <c r="C205" i="10"/>
  <c r="M22" i="8" l="1"/>
  <c r="E28" i="60"/>
  <c r="D28" i="60"/>
  <c r="C28" i="60"/>
  <c r="M192" i="10"/>
  <c r="C192" i="10" s="1"/>
  <c r="M186" i="10"/>
  <c r="C186" i="10" s="1"/>
  <c r="M191" i="10"/>
  <c r="M190" i="10"/>
  <c r="M201" i="10"/>
  <c r="C201" i="10" s="1"/>
  <c r="M200" i="10"/>
  <c r="C200" i="10" s="1"/>
  <c r="M197" i="10"/>
  <c r="C197" i="10" s="1"/>
  <c r="M195" i="10"/>
  <c r="C195" i="10" s="1"/>
  <c r="M194" i="10"/>
  <c r="C194" i="10" s="1"/>
  <c r="M193" i="10"/>
  <c r="M189" i="10"/>
  <c r="C189" i="10" s="1"/>
  <c r="M185" i="10"/>
  <c r="M184" i="10"/>
  <c r="C190" i="10" l="1"/>
  <c r="C193" i="10"/>
  <c r="C184" i="10"/>
  <c r="O65" i="27" l="1"/>
  <c r="M169" i="10"/>
  <c r="C169" i="10" s="1"/>
  <c r="M181" i="10"/>
  <c r="M172" i="10"/>
  <c r="C172" i="10" s="1"/>
  <c r="M168" i="10"/>
  <c r="M167" i="10"/>
  <c r="M173" i="10"/>
  <c r="C173" i="10" s="1"/>
  <c r="M171" i="10"/>
  <c r="M170" i="10"/>
  <c r="C167" i="10" l="1"/>
  <c r="C170" i="10"/>
  <c r="N33" i="27" l="1"/>
  <c r="M23" i="27" l="1"/>
  <c r="M160" i="10"/>
  <c r="M161" i="10"/>
  <c r="M162" i="10"/>
  <c r="M147" i="10"/>
  <c r="C147" i="10" s="1"/>
  <c r="J21" i="27"/>
  <c r="J53" i="27" s="1"/>
  <c r="J56" i="27" s="1"/>
  <c r="N160" i="10" l="1"/>
  <c r="C160" i="10" s="1"/>
  <c r="C161" i="10"/>
  <c r="M149" i="10"/>
  <c r="C149" i="10" s="1"/>
  <c r="M188" i="10"/>
  <c r="C188" i="10" s="1"/>
  <c r="M187" i="10"/>
  <c r="C187" i="10" s="1"/>
  <c r="M183" i="10"/>
  <c r="C183" i="10" s="1"/>
  <c r="C181" i="10"/>
  <c r="M180" i="10"/>
  <c r="C180" i="10" s="1"/>
  <c r="M182" i="10"/>
  <c r="C182" i="10" s="1"/>
  <c r="M179" i="10"/>
  <c r="C179" i="10" s="1"/>
  <c r="M178" i="10"/>
  <c r="C178" i="10" s="1"/>
  <c r="M177" i="10"/>
  <c r="C177" i="10" s="1"/>
  <c r="M176" i="10"/>
  <c r="C176" i="10" s="1"/>
  <c r="M175" i="10"/>
  <c r="C175" i="10" s="1"/>
  <c r="M174" i="10"/>
  <c r="C174" i="10" s="1"/>
  <c r="C166" i="10"/>
  <c r="M164" i="10"/>
  <c r="C164" i="10" s="1"/>
  <c r="M163" i="10"/>
  <c r="C162" i="10"/>
  <c r="M159" i="10"/>
  <c r="C159" i="10" s="1"/>
  <c r="M158" i="10"/>
  <c r="C158" i="10" s="1"/>
  <c r="M153" i="10"/>
  <c r="C153" i="10" s="1"/>
  <c r="M152" i="10"/>
  <c r="C152" i="10" s="1"/>
  <c r="M151" i="10"/>
  <c r="C151" i="10" s="1"/>
  <c r="M150" i="10"/>
  <c r="C150" i="10" s="1"/>
  <c r="M148" i="10"/>
  <c r="C148" i="10" s="1"/>
  <c r="M127" i="10"/>
  <c r="C127" i="10" s="1"/>
  <c r="M142" i="10"/>
  <c r="C142" i="10" s="1"/>
  <c r="C107" i="10"/>
  <c r="M12" i="8"/>
  <c r="M143" i="10"/>
  <c r="C143" i="10" s="1"/>
  <c r="M141" i="10"/>
  <c r="M140" i="10"/>
  <c r="C140" i="10" s="1"/>
  <c r="M139" i="10"/>
  <c r="M136" i="10"/>
  <c r="N136" i="10" s="1"/>
  <c r="M128" i="10"/>
  <c r="C128" i="10" s="1"/>
  <c r="G12" i="27"/>
  <c r="H12" i="27" s="1"/>
  <c r="N65" i="10"/>
  <c r="C49" i="10"/>
  <c r="C34" i="10"/>
  <c r="N139" i="10" l="1"/>
  <c r="C139" i="10" s="1"/>
  <c r="N141" i="10"/>
  <c r="C141" i="10" s="1"/>
  <c r="N106" i="10"/>
  <c r="C106" i="10" s="1"/>
  <c r="N45" i="10"/>
  <c r="C45" i="10" s="1"/>
  <c r="N35" i="10"/>
  <c r="C163" i="10"/>
  <c r="C35" i="10" l="1"/>
  <c r="C18" i="10"/>
  <c r="G65" i="27"/>
  <c r="G63" i="27"/>
  <c r="G61" i="27"/>
  <c r="G60" i="27"/>
  <c r="G59" i="27"/>
  <c r="H12" i="28" l="1"/>
  <c r="E67" i="27"/>
  <c r="K34" i="28" l="1"/>
  <c r="K33" i="28"/>
  <c r="K32" i="28"/>
  <c r="E4" i="35"/>
  <c r="H45" i="28"/>
  <c r="M123" i="10"/>
  <c r="C123" i="10" s="1"/>
  <c r="M125" i="10"/>
  <c r="M126" i="10"/>
  <c r="M129" i="10"/>
  <c r="C129" i="10" s="1"/>
  <c r="C136" i="10"/>
  <c r="M137" i="10"/>
  <c r="M138" i="10"/>
  <c r="N126" i="10" l="1"/>
  <c r="C126" i="10" s="1"/>
  <c r="N125" i="10"/>
  <c r="C125" i="10" s="1"/>
  <c r="C138" i="10"/>
  <c r="C96" i="10"/>
  <c r="C137" i="10"/>
  <c r="A5" i="34" l="1"/>
  <c r="C116" i="10" l="1"/>
  <c r="N87" i="10"/>
  <c r="C87" i="10" s="1"/>
  <c r="C70" i="10"/>
  <c r="G5" i="4"/>
  <c r="C6" i="4"/>
  <c r="C69" i="10"/>
  <c r="M13" i="8"/>
  <c r="C47" i="10"/>
  <c r="C48" i="10" l="1"/>
  <c r="C53" i="10"/>
  <c r="C15" i="10"/>
  <c r="C4" i="10"/>
  <c r="C5" i="10"/>
  <c r="C6" i="10"/>
  <c r="C7" i="10"/>
  <c r="C8" i="10"/>
  <c r="C9" i="10"/>
  <c r="C10" i="10"/>
  <c r="C13" i="10"/>
  <c r="C16" i="10"/>
  <c r="C17" i="10"/>
  <c r="C19" i="10"/>
  <c r="C46" i="10"/>
  <c r="G55" i="27"/>
  <c r="G54" i="27"/>
  <c r="G52" i="27"/>
  <c r="I52" i="27" s="1"/>
  <c r="G51" i="27"/>
  <c r="I51" i="27" s="1"/>
  <c r="G46" i="27"/>
  <c r="I46" i="27" s="1"/>
  <c r="G50" i="27"/>
  <c r="I50" i="27" s="1"/>
  <c r="G45" i="27"/>
  <c r="G39" i="27"/>
  <c r="G22" i="27"/>
  <c r="I22" i="27" s="1"/>
  <c r="J55" i="27"/>
  <c r="J54" i="27"/>
  <c r="J51" i="27"/>
  <c r="I39" i="27" l="1"/>
  <c r="I45" i="27"/>
  <c r="G49" i="27"/>
  <c r="C14" i="10"/>
  <c r="N44" i="10"/>
  <c r="C29" i="10"/>
  <c r="G43" i="27"/>
  <c r="G58" i="27"/>
  <c r="G41" i="27"/>
  <c r="I41" i="27" l="1"/>
  <c r="I49" i="27"/>
  <c r="I43" i="27"/>
  <c r="C44" i="10"/>
  <c r="J66" i="27"/>
  <c r="H41" i="27"/>
  <c r="H43" i="27"/>
  <c r="M3" i="10"/>
  <c r="B4" i="10"/>
  <c r="B5" i="10" s="1"/>
  <c r="C3" i="10" l="1"/>
  <c r="I60" i="27"/>
  <c r="I61" i="27"/>
  <c r="K65" i="27"/>
  <c r="H65" i="27"/>
  <c r="I65" i="27"/>
  <c r="I63" i="27"/>
  <c r="C12" i="4"/>
  <c r="B12" i="4"/>
  <c r="L54" i="27"/>
  <c r="C11" i="10"/>
  <c r="M223" i="10"/>
  <c r="G32" i="27"/>
  <c r="G28" i="27"/>
  <c r="I28" i="27" s="1"/>
  <c r="N94" i="10"/>
  <c r="G29" i="27"/>
  <c r="N85" i="10"/>
  <c r="N84" i="10"/>
  <c r="C83" i="10"/>
  <c r="G27" i="27"/>
  <c r="N76" i="10"/>
  <c r="N64" i="10"/>
  <c r="G48" i="27"/>
  <c r="B6" i="10"/>
  <c r="C56" i="27"/>
  <c r="C66" i="27" s="1"/>
  <c r="K15" i="27"/>
  <c r="F63" i="27"/>
  <c r="H61" i="27"/>
  <c r="O26" i="27"/>
  <c r="E14" i="27"/>
  <c r="I29" i="27" l="1"/>
  <c r="I32" i="27"/>
  <c r="I27" i="27"/>
  <c r="G20" i="27"/>
  <c r="I20" i="27" s="1"/>
  <c r="H63" i="27"/>
  <c r="F67" i="27"/>
  <c r="N91" i="10"/>
  <c r="C91" i="10" s="1"/>
  <c r="N86" i="10"/>
  <c r="C86" i="10" s="1"/>
  <c r="G38" i="27"/>
  <c r="N88" i="10"/>
  <c r="G25" i="27"/>
  <c r="G21" i="27"/>
  <c r="I21" i="27" s="1"/>
  <c r="K48" i="27"/>
  <c r="L48" i="27" s="1"/>
  <c r="G24" i="27"/>
  <c r="H60" i="27"/>
  <c r="G64" i="27"/>
  <c r="G30" i="27"/>
  <c r="G40" i="27"/>
  <c r="G47" i="27"/>
  <c r="G34" i="27"/>
  <c r="G57" i="27"/>
  <c r="G31" i="27"/>
  <c r="K13" i="27"/>
  <c r="H27" i="28"/>
  <c r="H26" i="28"/>
  <c r="G36" i="27"/>
  <c r="G44" i="27"/>
  <c r="G37" i="27"/>
  <c r="G33" i="27"/>
  <c r="K51" i="27"/>
  <c r="L51" i="27" s="1"/>
  <c r="H51" i="27"/>
  <c r="K52" i="27"/>
  <c r="L52" i="27" s="1"/>
  <c r="K55" i="27"/>
  <c r="L55" i="27" s="1"/>
  <c r="E66" i="27"/>
  <c r="I34" i="27" l="1"/>
  <c r="I30" i="27"/>
  <c r="I37" i="27"/>
  <c r="I24" i="27"/>
  <c r="I36" i="27"/>
  <c r="I47" i="27"/>
  <c r="I44" i="27"/>
  <c r="I25" i="27"/>
  <c r="I40" i="27"/>
  <c r="I38" i="27"/>
  <c r="I33" i="27"/>
  <c r="I31" i="27"/>
  <c r="N219" i="10"/>
  <c r="G35" i="27"/>
  <c r="H25" i="27"/>
  <c r="H30" i="27"/>
  <c r="G26" i="27"/>
  <c r="H47" i="27"/>
  <c r="H64" i="27"/>
  <c r="I64" i="27"/>
  <c r="K64" i="27"/>
  <c r="G62" i="27"/>
  <c r="E75" i="27"/>
  <c r="H44" i="27"/>
  <c r="K44" i="27"/>
  <c r="L44" i="27" s="1"/>
  <c r="I35" i="27" l="1"/>
  <c r="I26" i="27"/>
  <c r="M224" i="10"/>
  <c r="H26" i="27"/>
  <c r="K26" i="27"/>
  <c r="L26" i="27" s="1"/>
  <c r="H62" i="27"/>
  <c r="I62" i="27"/>
  <c r="G67" i="27"/>
  <c r="H37" i="28"/>
  <c r="H25" i="28"/>
  <c r="H24" i="28"/>
  <c r="H23" i="28"/>
  <c r="H21" i="28"/>
  <c r="H20" i="28"/>
  <c r="H19" i="28"/>
  <c r="H75" i="28"/>
  <c r="H74" i="28"/>
  <c r="H73" i="28"/>
  <c r="H72" i="28"/>
  <c r="H71" i="28"/>
  <c r="H70" i="28"/>
  <c r="H69" i="28"/>
  <c r="H68" i="28"/>
  <c r="K75" i="28" l="1"/>
  <c r="K37" i="28"/>
  <c r="M37" i="28"/>
  <c r="C102" i="10"/>
  <c r="C95" i="10"/>
  <c r="C103" i="10"/>
  <c r="C94" i="10"/>
  <c r="O46" i="27" l="1"/>
  <c r="N14" i="27" l="1"/>
  <c r="N66" i="27" s="1"/>
  <c r="N68" i="27" l="1"/>
  <c r="N75" i="27"/>
  <c r="C90" i="10"/>
  <c r="C89" i="10"/>
  <c r="L219" i="10"/>
  <c r="K219" i="10"/>
  <c r="M5" i="8"/>
  <c r="M219" i="10" l="1"/>
  <c r="G15" i="27"/>
  <c r="H15" i="27" s="1"/>
  <c r="C84" i="10"/>
  <c r="C85" i="10"/>
  <c r="C76" i="10"/>
  <c r="C75" i="10"/>
  <c r="M220" i="10" l="1"/>
  <c r="N223" i="10"/>
  <c r="J15" i="27"/>
  <c r="C62" i="10" l="1"/>
  <c r="C68" i="10"/>
  <c r="M68" i="8" l="1"/>
  <c r="M70" i="8" s="1"/>
  <c r="M57" i="8"/>
  <c r="M56" i="8"/>
  <c r="M55" i="8"/>
  <c r="M54" i="8"/>
  <c r="M53" i="8"/>
  <c r="M52" i="8"/>
  <c r="M51" i="8"/>
  <c r="M50" i="8"/>
  <c r="M49" i="8"/>
  <c r="M48" i="8"/>
  <c r="M47" i="8"/>
  <c r="M46" i="8"/>
  <c r="M45" i="8"/>
  <c r="M44" i="8"/>
  <c r="M43" i="8"/>
  <c r="M42" i="8"/>
  <c r="M41" i="8"/>
  <c r="M40" i="8"/>
  <c r="M39" i="8"/>
  <c r="M38" i="8"/>
  <c r="M37" i="8"/>
  <c r="M36" i="8"/>
  <c r="M35" i="8"/>
  <c r="M33" i="8"/>
  <c r="M32" i="8"/>
  <c r="M31" i="8"/>
  <c r="M30" i="8"/>
  <c r="M29" i="8"/>
  <c r="M28" i="8"/>
  <c r="M27" i="8"/>
  <c r="M26" i="8"/>
  <c r="M25" i="8"/>
  <c r="M24" i="8"/>
  <c r="M23" i="8"/>
  <c r="M21" i="8"/>
  <c r="M20" i="8"/>
  <c r="M19" i="8"/>
  <c r="G13" i="27" s="1"/>
  <c r="H13" i="27" s="1"/>
  <c r="M18" i="8"/>
  <c r="M17" i="8"/>
  <c r="M16" i="8"/>
  <c r="M15" i="8"/>
  <c r="M14" i="8"/>
  <c r="M11" i="8"/>
  <c r="M10" i="8"/>
  <c r="M9" i="8"/>
  <c r="M8" i="8"/>
  <c r="M7" i="8"/>
  <c r="M6" i="8"/>
  <c r="M4" i="8"/>
  <c r="C88" i="10" l="1"/>
  <c r="C38" i="10"/>
  <c r="C37" i="10"/>
  <c r="C64" i="10" l="1"/>
  <c r="C65" i="10"/>
  <c r="G8" i="4" l="1"/>
  <c r="G6" i="4"/>
  <c r="G7" i="4" s="1"/>
  <c r="G9" i="4" l="1"/>
  <c r="F66" i="27" l="1"/>
  <c r="J71" i="8"/>
  <c r="K7" i="27" l="1"/>
  <c r="K11" i="27"/>
  <c r="K8" i="27"/>
  <c r="K5" i="27"/>
  <c r="K9" i="27"/>
  <c r="K6" i="27"/>
  <c r="K10" i="27"/>
  <c r="J5" i="27"/>
  <c r="F14" i="27"/>
  <c r="K14" i="27" l="1"/>
  <c r="E3" i="34"/>
  <c r="O22" i="27" l="1"/>
  <c r="O21" i="27"/>
  <c r="G10" i="4" l="1"/>
  <c r="F10" i="4"/>
  <c r="I16" i="27" l="1"/>
  <c r="H67" i="28" l="1"/>
  <c r="H59" i="28"/>
  <c r="H58" i="28"/>
  <c r="H56" i="28"/>
  <c r="H51" i="28"/>
  <c r="H50" i="28"/>
  <c r="H49" i="28"/>
  <c r="H48" i="28"/>
  <c r="H47" i="28"/>
  <c r="H42" i="28"/>
  <c r="H30" i="28"/>
  <c r="K30" i="28" s="1"/>
  <c r="H29" i="28"/>
  <c r="H8" i="28"/>
  <c r="H5" i="28"/>
  <c r="H4" i="28"/>
  <c r="K67" i="28" l="1"/>
  <c r="C14" i="4"/>
  <c r="E5" i="35"/>
  <c r="G10" i="27"/>
  <c r="H10" i="27" s="1"/>
  <c r="O40" i="27"/>
  <c r="A5" i="4"/>
  <c r="G3" i="34"/>
  <c r="I3" i="34" s="1"/>
  <c r="G11" i="27"/>
  <c r="H11" i="27" s="1"/>
  <c r="E3" i="35"/>
  <c r="E2" i="35"/>
  <c r="H3" i="34"/>
  <c r="F12" i="34"/>
  <c r="F11" i="34"/>
  <c r="F10" i="34"/>
  <c r="K7" i="34"/>
  <c r="G7" i="34"/>
  <c r="I7" i="34" s="1"/>
  <c r="F7" i="34"/>
  <c r="H7" i="34" s="1"/>
  <c r="F6" i="34"/>
  <c r="H6" i="34" s="1"/>
  <c r="F5" i="34"/>
  <c r="H5" i="34" s="1"/>
  <c r="F4" i="34"/>
  <c r="H4" i="34" s="1"/>
  <c r="F8" i="34"/>
  <c r="H8" i="34" s="1"/>
  <c r="A8" i="34"/>
  <c r="F9" i="34"/>
  <c r="G39" i="28"/>
  <c r="H39" i="28" s="1"/>
  <c r="G38" i="28"/>
  <c r="H38" i="28" s="1"/>
  <c r="H92" i="28" s="1"/>
  <c r="O36" i="27"/>
  <c r="O45" i="27"/>
  <c r="O37" i="27"/>
  <c r="F12" i="4"/>
  <c r="B6" i="4"/>
  <c r="B14" i="4"/>
  <c r="O6" i="27"/>
  <c r="O7" i="27"/>
  <c r="O24" i="27"/>
  <c r="O27" i="27"/>
  <c r="O35" i="27"/>
  <c r="O34" i="27"/>
  <c r="O29" i="27"/>
  <c r="O31" i="27"/>
  <c r="O32" i="27"/>
  <c r="O33" i="27"/>
  <c r="O38" i="27"/>
  <c r="G74" i="8" l="1"/>
  <c r="G76" i="8"/>
  <c r="J79" i="27"/>
  <c r="G6" i="27"/>
  <c r="H6" i="27" s="1"/>
  <c r="V6" i="27" s="1"/>
  <c r="H9" i="34"/>
  <c r="G5" i="27"/>
  <c r="E4" i="34"/>
  <c r="G7" i="27"/>
  <c r="M71" i="8"/>
  <c r="N72" i="8" s="1"/>
  <c r="O39" i="27"/>
  <c r="G92" i="28"/>
  <c r="G93" i="28" s="1"/>
  <c r="I11" i="27"/>
  <c r="G9" i="27"/>
  <c r="H9" i="27" s="1"/>
  <c r="L5" i="27"/>
  <c r="L7" i="27"/>
  <c r="E12" i="34"/>
  <c r="K12" i="34" s="1"/>
  <c r="E6" i="35"/>
  <c r="H10" i="34" l="1"/>
  <c r="H7" i="27"/>
  <c r="J7" i="27"/>
  <c r="H5" i="27"/>
  <c r="G14" i="27"/>
  <c r="I6" i="27"/>
  <c r="G4" i="34"/>
  <c r="I4" i="34" s="1"/>
  <c r="I5" i="27"/>
  <c r="I7" i="27"/>
  <c r="M73" i="8"/>
  <c r="O55" i="27"/>
  <c r="L12" i="34"/>
  <c r="M12" i="34" s="1"/>
  <c r="G12" i="34"/>
  <c r="L4" i="34"/>
  <c r="M4" i="34" s="1"/>
  <c r="K4" i="34"/>
  <c r="O5" i="27"/>
  <c r="L6" i="27"/>
  <c r="M72" i="8"/>
  <c r="E5" i="34" s="1"/>
  <c r="C19" i="4"/>
  <c r="J14" i="27" l="1"/>
  <c r="J17" i="27" s="1"/>
  <c r="G17" i="27"/>
  <c r="H14" i="27"/>
  <c r="L5" i="34"/>
  <c r="M5" i="34" s="1"/>
  <c r="K5" i="34"/>
  <c r="G5" i="34"/>
  <c r="I5" i="34" s="1"/>
  <c r="J4" i="27" l="1"/>
  <c r="J70" i="27"/>
  <c r="J80" i="27" s="1"/>
  <c r="J68" i="27"/>
  <c r="B7" i="10"/>
  <c r="B8" i="10" l="1"/>
  <c r="B9" i="10" l="1"/>
  <c r="B10" i="10" s="1"/>
  <c r="B11" i="10" s="1"/>
  <c r="B13" i="10" s="1"/>
  <c r="B14" i="10" s="1"/>
  <c r="B15" i="10" s="1"/>
  <c r="B16" i="10" l="1"/>
  <c r="B17" i="10" s="1"/>
  <c r="B18" i="10" l="1"/>
  <c r="B19" i="10" s="1"/>
  <c r="B21" i="10" s="1"/>
  <c r="B22" i="10" l="1"/>
  <c r="B23" i="10" s="1"/>
  <c r="B24" i="10" s="1"/>
  <c r="B25" i="10" s="1"/>
  <c r="B27" i="10" s="1"/>
  <c r="B28" i="10" s="1"/>
  <c r="B29" i="10" s="1"/>
  <c r="B34" i="10" l="1"/>
  <c r="B35" i="10" l="1"/>
  <c r="B37" i="10" s="1"/>
  <c r="B38" i="10" s="1"/>
  <c r="B39" i="10" s="1"/>
  <c r="B40" i="10" l="1"/>
  <c r="B42" i="10" s="1"/>
  <c r="B44" i="10" s="1"/>
  <c r="B45" i="10" s="1"/>
  <c r="B46" i="10" s="1"/>
  <c r="B47" i="10" l="1"/>
  <c r="B48" i="10" s="1"/>
  <c r="B49" i="10" s="1"/>
  <c r="B50" i="10" s="1"/>
  <c r="B52" i="10" s="1"/>
  <c r="B53" i="10" l="1"/>
  <c r="N70" i="27"/>
  <c r="B54" i="10" l="1"/>
  <c r="B56" i="10" l="1"/>
  <c r="B57" i="10" s="1"/>
  <c r="B60" i="10" s="1"/>
  <c r="B61" i="10" s="1"/>
  <c r="B62" i="10" s="1"/>
  <c r="B63" i="10" s="1"/>
  <c r="K35" i="27"/>
  <c r="L35" i="27" s="1"/>
  <c r="K21" i="27"/>
  <c r="L21" i="27" s="1"/>
  <c r="K22" i="27"/>
  <c r="L22" i="27" s="1"/>
  <c r="K28" i="27"/>
  <c r="L28" i="27" s="1"/>
  <c r="K20" i="27"/>
  <c r="L20" i="27" s="1"/>
  <c r="B64" i="10" l="1"/>
  <c r="B65" i="10" s="1"/>
  <c r="K50" i="27"/>
  <c r="L50" i="27" s="1"/>
  <c r="K33" i="27"/>
  <c r="L33" i="27" s="1"/>
  <c r="K39" i="27"/>
  <c r="L39" i="27" s="1"/>
  <c r="K41" i="27"/>
  <c r="L41" i="27" s="1"/>
  <c r="K47" i="27"/>
  <c r="L47" i="27" s="1"/>
  <c r="H46" i="27"/>
  <c r="K46" i="27"/>
  <c r="L46" i="27" s="1"/>
  <c r="K30" i="27"/>
  <c r="L30" i="27" s="1"/>
  <c r="K37" i="27"/>
  <c r="L37" i="27" s="1"/>
  <c r="K32" i="27"/>
  <c r="L32" i="27" s="1"/>
  <c r="K27" i="27"/>
  <c r="L27" i="27" s="1"/>
  <c r="K34" i="27"/>
  <c r="L34" i="27" s="1"/>
  <c r="K36" i="27"/>
  <c r="L36" i="27" s="1"/>
  <c r="K38" i="27"/>
  <c r="L38" i="27" s="1"/>
  <c r="K24" i="27"/>
  <c r="L24" i="27" s="1"/>
  <c r="K31" i="27"/>
  <c r="L31" i="27" s="1"/>
  <c r="H40" i="27"/>
  <c r="K40" i="27"/>
  <c r="L40" i="27" s="1"/>
  <c r="K29" i="27"/>
  <c r="L29" i="27" s="1"/>
  <c r="K45" i="27"/>
  <c r="L45" i="27" s="1"/>
  <c r="K49" i="27"/>
  <c r="L49" i="27" s="1"/>
  <c r="H37" i="27"/>
  <c r="H50" i="27"/>
  <c r="H49" i="27"/>
  <c r="H31" i="27"/>
  <c r="H34" i="27"/>
  <c r="H32" i="27"/>
  <c r="H28" i="27"/>
  <c r="G23" i="27"/>
  <c r="K223" i="10" s="1"/>
  <c r="H33" i="27"/>
  <c r="H24" i="27"/>
  <c r="H22" i="27"/>
  <c r="H45" i="27"/>
  <c r="H36" i="27"/>
  <c r="H21" i="27"/>
  <c r="H20" i="27"/>
  <c r="H29" i="27"/>
  <c r="G68" i="27"/>
  <c r="H27" i="27"/>
  <c r="H39" i="27"/>
  <c r="H35" i="27"/>
  <c r="H38" i="27"/>
  <c r="B66" i="10" l="1"/>
  <c r="B68" i="10" s="1"/>
  <c r="B69" i="10" s="1"/>
  <c r="B70" i="10" s="1"/>
  <c r="B73" i="10" s="1"/>
  <c r="B75" i="10" s="1"/>
  <c r="E6" i="34"/>
  <c r="L6" i="34" l="1"/>
  <c r="M6" i="34" s="1"/>
  <c r="G6" i="34"/>
  <c r="I6" i="34" s="1"/>
  <c r="K6" i="34"/>
  <c r="B76" i="10" l="1"/>
  <c r="B77" i="10" s="1"/>
  <c r="B78" i="10" s="1"/>
  <c r="B79" i="10" s="1"/>
  <c r="B80" i="10" s="1"/>
  <c r="E17" i="27"/>
  <c r="B81" i="10" l="1"/>
  <c r="B83" i="10" s="1"/>
  <c r="B84" i="10" s="1"/>
  <c r="B85" i="10" s="1"/>
  <c r="B86" i="10" s="1"/>
  <c r="B87" i="10" s="1"/>
  <c r="B88" i="10" s="1"/>
  <c r="B89" i="10" s="1"/>
  <c r="B90" i="10" s="1"/>
  <c r="B91" i="10" s="1"/>
  <c r="B92" i="10" l="1"/>
  <c r="B94" i="10" s="1"/>
  <c r="B95" i="10" s="1"/>
  <c r="B96" i="10" l="1"/>
  <c r="B97" i="10" l="1"/>
  <c r="B99" i="10" l="1"/>
  <c r="B100" i="10" s="1"/>
  <c r="B101" i="10" s="1"/>
  <c r="B102" i="10" s="1"/>
  <c r="B103" i="10" s="1"/>
  <c r="B104" i="10" l="1"/>
  <c r="B106" i="10" s="1"/>
  <c r="B107" i="10" s="1"/>
  <c r="B108" i="10" s="1"/>
  <c r="B112" i="10" s="1"/>
  <c r="B114" i="10" s="1"/>
  <c r="B115" i="10" s="1"/>
  <c r="B116" i="10" s="1"/>
  <c r="B117" i="10" s="1"/>
  <c r="B119" i="10" s="1"/>
  <c r="B123" i="10" s="1"/>
  <c r="B124" i="10" s="1"/>
  <c r="B125" i="10" s="1"/>
  <c r="B126" i="10" l="1"/>
  <c r="B127" i="10" l="1"/>
  <c r="B128" i="10" s="1"/>
  <c r="B129" i="10" s="1"/>
  <c r="B130" i="10" l="1"/>
  <c r="B132" i="10" s="1"/>
  <c r="B136" i="10" s="1"/>
  <c r="B137" i="10" s="1"/>
  <c r="B138" i="10" s="1"/>
  <c r="B139" i="10" s="1"/>
  <c r="B140" i="10" s="1"/>
  <c r="B141" i="10" s="1"/>
  <c r="B142" i="10" s="1"/>
  <c r="B143" i="10" s="1"/>
  <c r="B144" i="10" l="1"/>
  <c r="B146" i="10" l="1"/>
  <c r="B147" i="10" s="1"/>
  <c r="B148" i="10" s="1"/>
  <c r="B149" i="10" s="1"/>
  <c r="B150" i="10" s="1"/>
  <c r="B151" i="10" s="1"/>
  <c r="B152" i="10" s="1"/>
  <c r="B153" i="10" s="1"/>
  <c r="B154" i="10" l="1"/>
  <c r="B156" i="10" s="1"/>
  <c r="B158" i="10"/>
  <c r="B159" i="10" s="1"/>
  <c r="B160" i="10" s="1"/>
  <c r="B161" i="10" s="1"/>
  <c r="B162" i="10" s="1"/>
  <c r="B163" i="10" l="1"/>
  <c r="B164" i="10" s="1"/>
  <c r="B165" i="10" l="1"/>
  <c r="B166" i="10" s="1"/>
  <c r="B167" i="10" l="1"/>
  <c r="B169" i="10" s="1"/>
  <c r="B170" i="10" s="1"/>
  <c r="B172" i="10" s="1"/>
  <c r="B173" i="10" s="1"/>
  <c r="B174" i="10" s="1"/>
  <c r="B175" i="10" s="1"/>
  <c r="B176" i="10" s="1"/>
  <c r="B177" i="10" s="1"/>
  <c r="B178" i="10" s="1"/>
  <c r="B179" i="10" s="1"/>
  <c r="B180" i="10" s="1"/>
  <c r="B181" i="10" s="1"/>
  <c r="B182" i="10" s="1"/>
  <c r="B183" i="10" s="1"/>
  <c r="B184" i="10" s="1"/>
  <c r="B186" i="10" s="1"/>
  <c r="B187" i="10" s="1"/>
  <c r="B188" i="10" s="1"/>
  <c r="B189" i="10" s="1"/>
  <c r="B190" i="10" s="1"/>
  <c r="B192" i="10" s="1"/>
  <c r="B193" i="10" s="1"/>
  <c r="B194" i="10" s="1"/>
  <c r="B195" i="10" s="1"/>
  <c r="B196" i="10" s="1"/>
  <c r="B197" i="10" s="1"/>
  <c r="B200" i="10" l="1"/>
  <c r="B201" i="10" s="1"/>
  <c r="B202" i="10" s="1"/>
  <c r="B198" i="10"/>
  <c r="B203" i="10" l="1"/>
  <c r="B205" i="10" l="1"/>
  <c r="B206" i="10" s="1"/>
  <c r="B207" i="10" s="1"/>
  <c r="B208" i="10" s="1"/>
  <c r="B210" i="10" s="1"/>
  <c r="B211" i="10" s="1"/>
  <c r="B212" i="10" s="1"/>
  <c r="B213" i="10" s="1"/>
  <c r="B214" i="10" s="1"/>
  <c r="B215" i="10" l="1"/>
  <c r="F17" i="27"/>
  <c r="F75" i="27" s="1"/>
  <c r="B217" i="10" l="1"/>
  <c r="B218" i="10" s="1"/>
  <c r="K17" i="27"/>
  <c r="L17" i="27" s="1"/>
  <c r="G42" i="27" l="1"/>
  <c r="G56" i="27" s="1"/>
  <c r="C196" i="10"/>
  <c r="C219" i="10" s="1"/>
  <c r="I42" i="27" l="1"/>
  <c r="M225" i="10"/>
  <c r="C7" i="4"/>
  <c r="H42" i="27"/>
  <c r="K42" i="27"/>
  <c r="L42" i="27" s="1"/>
  <c r="F13" i="4" l="1"/>
  <c r="F15" i="4" s="1"/>
  <c r="C11" i="4"/>
  <c r="C15" i="4" s="1"/>
  <c r="G66" i="27"/>
  <c r="J71" i="27"/>
  <c r="E8" i="35"/>
  <c r="E14" i="35" s="1"/>
  <c r="F14" i="35" s="1"/>
  <c r="H56" i="27"/>
  <c r="I56" i="27"/>
  <c r="K56" i="27"/>
  <c r="J81" i="27"/>
  <c r="J82" i="27" s="1"/>
  <c r="J69" i="27" l="1"/>
  <c r="N220" i="10"/>
  <c r="J72" i="27"/>
  <c r="H66" i="27"/>
  <c r="I66" i="27"/>
  <c r="G83" i="27"/>
  <c r="N16" i="27"/>
  <c r="O16" i="27" s="1"/>
  <c r="N17" i="27" l="1"/>
  <c r="O17" i="27" s="1"/>
  <c r="E68" i="27"/>
  <c r="N73" i="27" l="1"/>
  <c r="E8" i="34"/>
  <c r="C20" i="4"/>
  <c r="M221" i="10"/>
  <c r="N221" i="10" s="1"/>
  <c r="G75" i="27"/>
  <c r="G76" i="27" s="1"/>
  <c r="K224" i="10" l="1"/>
  <c r="G77" i="27"/>
  <c r="C22" i="4"/>
  <c r="G8" i="34"/>
  <c r="E9" i="34"/>
  <c r="L9" i="34" s="1"/>
  <c r="K8" i="34"/>
  <c r="L8" i="34" s="1"/>
  <c r="J8" i="34"/>
  <c r="O8" i="34" l="1"/>
  <c r="M8" i="34"/>
  <c r="G9" i="34"/>
  <c r="M9" i="34"/>
  <c r="K9" i="34"/>
  <c r="J9" i="34"/>
  <c r="I8" i="34"/>
  <c r="E11" i="34"/>
  <c r="C24" i="4"/>
  <c r="I9" i="34" l="1"/>
  <c r="I10" i="34" s="1"/>
  <c r="N8" i="34"/>
  <c r="E17" i="35"/>
  <c r="E14" i="34"/>
  <c r="G11" i="34"/>
  <c r="G14" i="34" s="1"/>
  <c r="E19" i="35" l="1"/>
  <c r="F17"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tc={546BFA84-015C-46FE-A69C-C89D35321C0C}</author>
    <author>Sarah</author>
    <author>tc={679C7C3E-9895-48FD-8764-9DDE4399C1FF}</author>
    <author>tc={2C074106-899A-4665-956A-C832141F9431}</author>
  </authors>
  <commentList>
    <comment ref="J6" authorId="0" shapeId="0" xr:uid="{546BFA84-015C-46FE-A69C-C89D35321C0C}">
      <text>
        <t>[Threaded comment]
Your version of Excel allows you to read this threaded comment; however, any edits to it will get removed if the file is opened in a newer version of Excel. Learn more: https://go.microsoft.com/fwlink/?linkid=870924
Comment:
    =YTDrounded plus 5x£280 +£440x2</t>
      </text>
    </comment>
    <comment ref="N20" authorId="1" shapeId="0" xr:uid="{2553F57F-60AD-4351-90EB-66A119E2929F}">
      <text>
        <r>
          <rPr>
            <sz val="9"/>
            <color indexed="81"/>
            <rFont val="Tahoma"/>
            <family val="2"/>
          </rPr>
          <t xml:space="preserve">This figure includes NI
</t>
        </r>
      </text>
    </comment>
    <comment ref="O20" authorId="1" shapeId="0" xr:uid="{AE6FAD5E-9C95-4169-AD2E-DE2726B62241}">
      <text>
        <r>
          <rPr>
            <b/>
            <sz val="9"/>
            <color indexed="81"/>
            <rFont val="Tahoma"/>
            <family val="2"/>
          </rPr>
          <t xml:space="preserve">Based on 5% as advised for budgetary purposes by NALC
</t>
        </r>
        <r>
          <rPr>
            <sz val="9"/>
            <color indexed="81"/>
            <rFont val="Tahoma"/>
            <family val="2"/>
          </rPr>
          <t xml:space="preserve">
</t>
        </r>
      </text>
    </comment>
    <comment ref="N21" authorId="2" shapeId="0" xr:uid="{679C7C3E-9895-48FD-8764-9DDE4399C1FF}">
      <text>
        <t>[Threaded comment]
Your version of Excel allows you to read this threaded comment; however, any edits to it will get removed if the file is opened in a newer version of Excel. Learn more: https://go.microsoft.com/fwlink/?linkid=870924
Comment:
    Sal * 6%</t>
      </text>
    </comment>
    <comment ref="N31" authorId="3" shapeId="0" xr:uid="{2C074106-899A-4665-956A-C832141F9431}">
      <text>
        <t>[Threaded comment]
Your version of Excel allows you to read this threaded comment; however, any edits to it will get removed if the file is opened in a newer version of Excel. Learn more: https://go.microsoft.com/fwlink/?linkid=870924
Comment:
    SLCC177+Ncalc(680*0.2723)+181.43+NALC(680*0.0771)</t>
      </text>
    </comment>
  </commentList>
</comments>
</file>

<file path=xl/sharedStrings.xml><?xml version="1.0" encoding="utf-8"?>
<sst xmlns="http://schemas.openxmlformats.org/spreadsheetml/2006/main" count="1426" uniqueCount="669">
  <si>
    <t>Street Lighting</t>
  </si>
  <si>
    <t>Insurance</t>
  </si>
  <si>
    <t>Audit</t>
  </si>
  <si>
    <t>Date</t>
  </si>
  <si>
    <t>Details</t>
  </si>
  <si>
    <t>VAT</t>
  </si>
  <si>
    <t>TOTAL</t>
  </si>
  <si>
    <t>TOTALS</t>
  </si>
  <si>
    <t>Precept</t>
  </si>
  <si>
    <t>Interest</t>
  </si>
  <si>
    <t>Grant</t>
  </si>
  <si>
    <t>Account</t>
  </si>
  <si>
    <t>Vat</t>
  </si>
  <si>
    <t>Misc</t>
  </si>
  <si>
    <t>Total</t>
  </si>
  <si>
    <t>Closing Date</t>
  </si>
  <si>
    <t>ledger balance current account</t>
  </si>
  <si>
    <t>Per cash book</t>
  </si>
  <si>
    <t>Balance b/f</t>
  </si>
  <si>
    <t>Add receipts for year</t>
  </si>
  <si>
    <t>less payments for the year</t>
  </si>
  <si>
    <t>Office expenses</t>
  </si>
  <si>
    <t>Burial Board</t>
  </si>
  <si>
    <t>Allotment Expenditure</t>
  </si>
  <si>
    <t>Allotment Rents</t>
  </si>
  <si>
    <t>Pavilion Lease</t>
  </si>
  <si>
    <t xml:space="preserve">  </t>
  </si>
  <si>
    <t>Interest/ Charges</t>
  </si>
  <si>
    <t xml:space="preserve">TOTALS  </t>
  </si>
  <si>
    <t xml:space="preserve">Total cash:   </t>
  </si>
  <si>
    <t xml:space="preserve">Balance c/f:   </t>
  </si>
  <si>
    <t>Payee</t>
  </si>
  <si>
    <t>Plus uncleared receipts</t>
  </si>
  <si>
    <t>Total cash</t>
  </si>
  <si>
    <t>Less uncleared payts &amp; cheques</t>
  </si>
  <si>
    <t>Available funds:</t>
  </si>
  <si>
    <t xml:space="preserve">Section   137 </t>
  </si>
  <si>
    <t>RECEIPTS</t>
  </si>
  <si>
    <t xml:space="preserve">Difference </t>
  </si>
  <si>
    <t>Cleared?</t>
  </si>
  <si>
    <t>Anticipated Y/E Outcome</t>
  </si>
  <si>
    <t xml:space="preserve">Salary </t>
  </si>
  <si>
    <t>Clerks expenses</t>
  </si>
  <si>
    <t>Sub total</t>
  </si>
  <si>
    <t>Actual Vs Budget</t>
  </si>
  <si>
    <t>-  Analysis of actual income &amp; expenditure against budgets</t>
  </si>
  <si>
    <t>Receipts</t>
  </si>
  <si>
    <t>Payments</t>
  </si>
  <si>
    <t>Balances</t>
  </si>
  <si>
    <t xml:space="preserve">-  A bank &amp; budget reconciliation </t>
  </si>
  <si>
    <t xml:space="preserve">On any page, click on </t>
  </si>
  <si>
    <t>Bank balances at</t>
  </si>
  <si>
    <t>Bank balances at:</t>
  </si>
  <si>
    <t>Training budget</t>
  </si>
  <si>
    <t>-  A list of all the Parish Council's assets</t>
  </si>
  <si>
    <t>to come back to this page</t>
  </si>
  <si>
    <t>Preschool</t>
  </si>
  <si>
    <t>YEAR TO DATE</t>
  </si>
  <si>
    <t>churchyard</t>
  </si>
  <si>
    <t>Red=decrease</t>
  </si>
  <si>
    <t>Preschool Lease</t>
  </si>
  <si>
    <t>Tailored reserve</t>
  </si>
  <si>
    <t>PAYMENTS</t>
  </si>
  <si>
    <t>Difference +/-  T/Y vs L/Y</t>
  </si>
  <si>
    <t>Admin Costs</t>
  </si>
  <si>
    <t>Reserves</t>
  </si>
  <si>
    <t>NETT</t>
  </si>
  <si>
    <t>General Reserve</t>
  </si>
  <si>
    <t xml:space="preserve">Playing Field </t>
  </si>
  <si>
    <t>Working cash</t>
  </si>
  <si>
    <t>Fwd Contingency (to reserves)</t>
  </si>
  <si>
    <t>Contingency / c'man's allowance</t>
  </si>
  <si>
    <t>Difference % T/Y vs L/Y</t>
  </si>
  <si>
    <t>NHW</t>
  </si>
  <si>
    <t xml:space="preserve"> </t>
  </si>
  <si>
    <t>Wkg income</t>
  </si>
  <si>
    <t>Hangout area</t>
  </si>
  <si>
    <t xml:space="preserve">Ref No.   </t>
  </si>
  <si>
    <t>Description</t>
  </si>
  <si>
    <t>Identification</t>
  </si>
  <si>
    <t>Date acquired</t>
  </si>
  <si>
    <t>Location</t>
  </si>
  <si>
    <t xml:space="preserve">Insurance Value </t>
  </si>
  <si>
    <t>Disposal / Discharge</t>
  </si>
  <si>
    <t>Explanation for variance</t>
  </si>
  <si>
    <t>none</t>
  </si>
  <si>
    <t xml:space="preserve">Allotments </t>
  </si>
  <si>
    <t>Grid ref TL057968</t>
  </si>
  <si>
    <t>St Mary's Way, Nassington</t>
  </si>
  <si>
    <t>Playing field</t>
  </si>
  <si>
    <t>Grid ref TL066959</t>
  </si>
  <si>
    <t>Fotheringhay Rd, Nassington</t>
  </si>
  <si>
    <t>Pocket park</t>
  </si>
  <si>
    <t>Grid ref TL060963</t>
  </si>
  <si>
    <t>Autumn 1981</t>
  </si>
  <si>
    <t>Apetorpe R, Nassington</t>
  </si>
  <si>
    <t>Insurance ref ITEM 1</t>
  </si>
  <si>
    <t>BUILDINGS</t>
  </si>
  <si>
    <t>On playing field grid ref TL066959</t>
  </si>
  <si>
    <t>The previous valuation was based on the actual cost of the building plus the insurer's index linked increase of 5% pa - the new valuation is based on a builder's estimate of how much the building would cost to insure)</t>
  </si>
  <si>
    <t>Sports Pavilion 1969/1993 (renovated)</t>
  </si>
  <si>
    <t>1969 / 1993</t>
  </si>
  <si>
    <t>STREET FURNITURE</t>
  </si>
  <si>
    <t>The index linked increase was not felt to be sufficient to cover the replacement cost of the bus shelter</t>
  </si>
  <si>
    <t xml:space="preserve">a.  </t>
  </si>
  <si>
    <t>Bus Shelter</t>
  </si>
  <si>
    <t>N/A</t>
  </si>
  <si>
    <t>Apethorpe Rd/Norhtfields Lane, PE8 6QG</t>
  </si>
  <si>
    <t xml:space="preserve">b.  </t>
  </si>
  <si>
    <t xml:space="preserve">7 Garden Seats </t>
  </si>
  <si>
    <t>Pocket Park</t>
  </si>
  <si>
    <t>1990</t>
  </si>
  <si>
    <t>Pocket Park, Apethorpe Rd</t>
  </si>
  <si>
    <t>Alf Parrish memorial seat</t>
  </si>
  <si>
    <t>?</t>
  </si>
  <si>
    <t>Village Green, Church St</t>
  </si>
  <si>
    <t>Coronation Seat</t>
  </si>
  <si>
    <t>1953</t>
  </si>
  <si>
    <t>Church Street, near church</t>
  </si>
  <si>
    <t>St Mary's Way</t>
  </si>
  <si>
    <t>Churchyard Green</t>
  </si>
  <si>
    <t>John Rogers memorial bench</t>
  </si>
  <si>
    <t>Parkway Green</t>
  </si>
  <si>
    <t>Peter Pickering memorial bench</t>
  </si>
  <si>
    <t>2000</t>
  </si>
  <si>
    <t>Coal Yard Green</t>
  </si>
  <si>
    <t>2007</t>
  </si>
  <si>
    <t>Village Sign</t>
  </si>
  <si>
    <t>Village Green</t>
  </si>
  <si>
    <t>On village green opposite Nassington House</t>
  </si>
  <si>
    <t>Undervalued on previous asset register</t>
  </si>
  <si>
    <t>Notice Boards</t>
  </si>
  <si>
    <t xml:space="preserve">c.  </t>
  </si>
  <si>
    <t>35 column lamps</t>
  </si>
  <si>
    <t>Various at £340 each</t>
  </si>
  <si>
    <t>Previously under valued.  New values as per list prices from ABB, the suppliers and inventory carried out</t>
  </si>
  <si>
    <t>16 bracket lamps</t>
  </si>
  <si>
    <t>Various at £450 each</t>
  </si>
  <si>
    <t>d</t>
  </si>
  <si>
    <t>Litter Bins</t>
  </si>
  <si>
    <t>GATES &amp; FENCES</t>
  </si>
  <si>
    <t>Hoop Fencing for Playing Field Car Park</t>
  </si>
  <si>
    <t>Playing field car park</t>
  </si>
  <si>
    <t>Omitted from previous asset register due to clerical error</t>
  </si>
  <si>
    <t>PLAYGROUND EQUIPMENT</t>
  </si>
  <si>
    <t>Wooden climbing frame</t>
  </si>
  <si>
    <t>Set of swings</t>
  </si>
  <si>
    <t>late 60s</t>
  </si>
  <si>
    <t>Rocking Horse</t>
  </si>
  <si>
    <t>1971</t>
  </si>
  <si>
    <t>Goal Posts</t>
  </si>
  <si>
    <t>2008</t>
  </si>
  <si>
    <t xml:space="preserve">Slide </t>
  </si>
  <si>
    <t>Maid Marion Unit</t>
  </si>
  <si>
    <t>2002</t>
  </si>
  <si>
    <t>Spring Elephant See Saw</t>
  </si>
  <si>
    <t xml:space="preserve">Spring Elephant </t>
  </si>
  <si>
    <t>Park Bench</t>
  </si>
  <si>
    <t>Included in benches above</t>
  </si>
  <si>
    <t>Burma Bridge</t>
  </si>
  <si>
    <t>Zip Slide</t>
  </si>
  <si>
    <t>Impact Attenuating Surface</t>
  </si>
  <si>
    <t>OFFICE CONTENTS</t>
  </si>
  <si>
    <t>Computer, printer, photocopier-iep</t>
  </si>
  <si>
    <t>Obsolete eqipment</t>
  </si>
  <si>
    <t>Computer screen</t>
  </si>
  <si>
    <t>computer switcher</t>
  </si>
  <si>
    <t>office chair</t>
  </si>
  <si>
    <t>Bookcase for Millennium Book, in Church</t>
  </si>
  <si>
    <t xml:space="preserve">Stand for Bookcase in Church </t>
  </si>
  <si>
    <t>MOWERS &amp; SIMILAR EQUIPMENT</t>
  </si>
  <si>
    <t>Year Ending</t>
  </si>
  <si>
    <t>Balances    brought forward</t>
  </si>
  <si>
    <t>(+) Annual Precept</t>
  </si>
  <si>
    <t>(+) Total other receipts</t>
  </si>
  <si>
    <t>(-) Staff Costs</t>
  </si>
  <si>
    <t>(-) Loan interest/capital repayments</t>
  </si>
  <si>
    <t>(-) Total other payments</t>
  </si>
  <si>
    <t>(=) Balances carried forward</t>
  </si>
  <si>
    <t>Total cash and investments</t>
  </si>
  <si>
    <t>Total fixed assets and long term assets</t>
  </si>
  <si>
    <t>Total borrowings</t>
  </si>
  <si>
    <t>Bank Account(s):</t>
  </si>
  <si>
    <t>Current (Tailored account)</t>
  </si>
  <si>
    <t>(list all bank accounts)</t>
  </si>
  <si>
    <t>Tailored deposit</t>
  </si>
  <si>
    <t>None</t>
  </si>
  <si>
    <t>Add Petty Cash:</t>
  </si>
  <si>
    <t>Add Investments:</t>
  </si>
  <si>
    <t>(note: a market value for investments should be obtained)</t>
  </si>
  <si>
    <t>Box No</t>
  </si>
  <si>
    <t>Difference</t>
  </si>
  <si>
    <t xml:space="preserve">Explanation </t>
  </si>
  <si>
    <t>Analysis</t>
  </si>
  <si>
    <t>%</t>
  </si>
  <si>
    <t>£</t>
  </si>
  <si>
    <t>% (+/-)</t>
  </si>
  <si>
    <t>(If larger than £100 and 10%)</t>
  </si>
  <si>
    <t>2   precept</t>
  </si>
  <si>
    <t>3          other recs</t>
  </si>
  <si>
    <t>4          staff costs</t>
  </si>
  <si>
    <t>6         other payts</t>
  </si>
  <si>
    <t>7 bal c/fwd</t>
  </si>
  <si>
    <t>8 cash &amp; investments</t>
  </si>
  <si>
    <t>Less unpresented payments</t>
  </si>
  <si>
    <t>Add uncleared receipts</t>
  </si>
  <si>
    <t>9 Total fixed assets and long term assets</t>
  </si>
  <si>
    <t>Bank reconciliation for audit</t>
  </si>
  <si>
    <t>Audit reconciliation</t>
  </si>
  <si>
    <t>Difference     £</t>
  </si>
  <si>
    <t>Difference %</t>
  </si>
  <si>
    <t>Current balance</t>
  </si>
  <si>
    <t>+ income yet to receive</t>
  </si>
  <si>
    <t>less exp still to pay</t>
  </si>
  <si>
    <t xml:space="preserve">Anticipated y/e balance: </t>
  </si>
  <si>
    <t>Elections</t>
  </si>
  <si>
    <t>Hang out area seat</t>
  </si>
  <si>
    <t>Less Uncleared payments:</t>
  </si>
  <si>
    <t>5 (-) Loan interest/capital repayments</t>
  </si>
  <si>
    <t xml:space="preserve">-  Cash book showing what we've spent </t>
  </si>
  <si>
    <t>-  Cash book showing what money we've received</t>
  </si>
  <si>
    <t>Highways / amenities</t>
  </si>
  <si>
    <t>Date paid / minuted</t>
  </si>
  <si>
    <t>a</t>
  </si>
  <si>
    <t>Details                                                           (click on hyperlinks to view invoices)</t>
  </si>
  <si>
    <t xml:space="preserve">Footpaths / Environment </t>
  </si>
  <si>
    <t>Total reserves</t>
  </si>
  <si>
    <t>Anticipated Y/E</t>
  </si>
  <si>
    <t>DEFICIT</t>
  </si>
  <si>
    <t>NCC highways</t>
  </si>
  <si>
    <t>m</t>
  </si>
  <si>
    <t>j</t>
  </si>
  <si>
    <t>s</t>
  </si>
  <si>
    <t>n</t>
  </si>
  <si>
    <t>f</t>
  </si>
  <si>
    <t>b</t>
  </si>
  <si>
    <t>c</t>
  </si>
  <si>
    <t>g</t>
  </si>
  <si>
    <t>h</t>
  </si>
  <si>
    <t>i</t>
  </si>
  <si>
    <t>k</t>
  </si>
  <si>
    <t>p</t>
  </si>
  <si>
    <t>r</t>
  </si>
  <si>
    <t>t</t>
  </si>
  <si>
    <t>u</t>
  </si>
  <si>
    <t>v</t>
  </si>
  <si>
    <t>x</t>
  </si>
  <si>
    <t>y</t>
  </si>
  <si>
    <t>z</t>
  </si>
  <si>
    <t>aa</t>
  </si>
  <si>
    <t>bb</t>
  </si>
  <si>
    <t>2016/17</t>
  </si>
  <si>
    <t>CURRENT value since 2014/15 asset register</t>
  </si>
  <si>
    <t>Farmy Multi-User Seesaw</t>
  </si>
  <si>
    <t>HAGS HS8045081</t>
  </si>
  <si>
    <t xml:space="preserve">Merry Roundabout  </t>
  </si>
  <si>
    <t xml:space="preserve">HAGS  HAG8002462 </t>
  </si>
  <si>
    <t xml:space="preserve">UniPlay Iktaz (wood)  </t>
  </si>
  <si>
    <t>HAGS8049073</t>
  </si>
  <si>
    <t xml:space="preserve">WET-RUBBARK   </t>
  </si>
  <si>
    <t>Bonded rubber mulch surfacing</t>
  </si>
  <si>
    <t>Mats Zipwire</t>
  </si>
  <si>
    <t>HAG8036747</t>
  </si>
  <si>
    <t>Grass mattingsurfacing</t>
  </si>
  <si>
    <t>RP400S</t>
  </si>
  <si>
    <t>broken</t>
  </si>
  <si>
    <t>Highways</t>
  </si>
  <si>
    <t>Under/Over spent / received</t>
  </si>
  <si>
    <t xml:space="preserve">Receipts / Payments </t>
  </si>
  <si>
    <t>Current account</t>
  </si>
  <si>
    <t>£ Difference</t>
  </si>
  <si>
    <t>Audit S 5</t>
  </si>
  <si>
    <t>VH Grant</t>
  </si>
  <si>
    <t>Recreation reserve</t>
  </si>
  <si>
    <t>Cost Point / budget expenditure analysis</t>
  </si>
  <si>
    <t xml:space="preserve">Less Uncleared receipts </t>
  </si>
  <si>
    <t>Pension Provision/NIC</t>
  </si>
  <si>
    <t>Tree inspection/works</t>
  </si>
  <si>
    <t>428-339</t>
  </si>
  <si>
    <t>EYFS Equipment</t>
  </si>
  <si>
    <t>Komplan</t>
  </si>
  <si>
    <t>2019</t>
  </si>
  <si>
    <t>Churchyard Path</t>
  </si>
  <si>
    <t>Lane to playing fied</t>
  </si>
  <si>
    <t>Check</t>
  </si>
  <si>
    <t>Memorial bench in churchyard</t>
  </si>
  <si>
    <t xml:space="preserve">Churchyard </t>
  </si>
  <si>
    <t>Pre-paid debit card</t>
  </si>
  <si>
    <t>Capital Projects</t>
  </si>
  <si>
    <t>Streetlighting</t>
  </si>
  <si>
    <t>History Group</t>
  </si>
  <si>
    <t>Cohesion reserve</t>
  </si>
  <si>
    <t>Election reserve</t>
  </si>
  <si>
    <t>check</t>
  </si>
  <si>
    <t>Allotments</t>
  </si>
  <si>
    <t>Community &amp; Running Costs</t>
  </si>
  <si>
    <t>NDP grant</t>
  </si>
  <si>
    <t>Meeting facilitation</t>
  </si>
  <si>
    <t>NDP project</t>
  </si>
  <si>
    <t>NALC &amp; SLCC</t>
  </si>
  <si>
    <t>Website</t>
  </si>
  <si>
    <t>To capital project</t>
  </si>
  <si>
    <t>Professional fees</t>
  </si>
  <si>
    <t>HAGS</t>
  </si>
  <si>
    <t>All the play and gym equipment is sited on the village playing field, grid reference TL066959</t>
  </si>
  <si>
    <t>Ski stepper</t>
  </si>
  <si>
    <t>Outdoor Gym</t>
  </si>
  <si>
    <t>Rower</t>
  </si>
  <si>
    <t>Equipment, matting plus installation</t>
  </si>
  <si>
    <t>Air Walker</t>
  </si>
  <si>
    <t>Lat pull &amp; chest press</t>
  </si>
  <si>
    <t>Sit up</t>
  </si>
  <si>
    <t>Parallel rails</t>
  </si>
  <si>
    <t>Push hands</t>
  </si>
  <si>
    <t>Siganage, fencing</t>
  </si>
  <si>
    <t>Eco-timber moulded benches</t>
  </si>
  <si>
    <t>By the splash in Runnel Lane</t>
  </si>
  <si>
    <t>Coalyard island</t>
  </si>
  <si>
    <t>Entrance to Wilgar bridge field</t>
  </si>
  <si>
    <t>Old shelter St Marys Close</t>
  </si>
  <si>
    <t>St Marys Green</t>
  </si>
  <si>
    <t>Eastfield Cresent</t>
  </si>
  <si>
    <t>Northfield Lane</t>
  </si>
  <si>
    <t>Replaced 2020</t>
  </si>
  <si>
    <t>Komplan and playscapes</t>
  </si>
  <si>
    <t>New noticeboard</t>
  </si>
  <si>
    <t>Village hall</t>
  </si>
  <si>
    <t>Community Assets</t>
  </si>
  <si>
    <t>Christmas lights</t>
  </si>
  <si>
    <t>Outdoor socket box</t>
  </si>
  <si>
    <t>Electric lead and timer</t>
  </si>
  <si>
    <t>Electic cable</t>
  </si>
  <si>
    <t>NDP</t>
  </si>
  <si>
    <t xml:space="preserve"> Salary  </t>
  </si>
  <si>
    <t xml:space="preserve"> Clerks expenses </t>
  </si>
  <si>
    <t xml:space="preserve"> Office expenses </t>
  </si>
  <si>
    <t xml:space="preserve"> Professional fees </t>
  </si>
  <si>
    <t xml:space="preserve"> Training budget </t>
  </si>
  <si>
    <t xml:space="preserve"> Street Lighting </t>
  </si>
  <si>
    <t xml:space="preserve"> Playing Field  </t>
  </si>
  <si>
    <t xml:space="preserve"> Footpaths / Environment  </t>
  </si>
  <si>
    <t xml:space="preserve"> Burial Board </t>
  </si>
  <si>
    <t xml:space="preserve"> Insurance </t>
  </si>
  <si>
    <t xml:space="preserve"> Meeting facilitation </t>
  </si>
  <si>
    <t xml:space="preserve"> Audit </t>
  </si>
  <si>
    <t xml:space="preserve"> Allotment Expenditure </t>
  </si>
  <si>
    <t xml:space="preserve"> Contingency / c'man's allowance </t>
  </si>
  <si>
    <t xml:space="preserve"> NHW </t>
  </si>
  <si>
    <t xml:space="preserve"> Fwd Contingency (to reserves) </t>
  </si>
  <si>
    <t xml:space="preserve"> Elections </t>
  </si>
  <si>
    <t xml:space="preserve"> VH Grant </t>
  </si>
  <si>
    <t xml:space="preserve"> Highways / amenities </t>
  </si>
  <si>
    <t xml:space="preserve"> History Group </t>
  </si>
  <si>
    <t xml:space="preserve"> NDP project </t>
  </si>
  <si>
    <t xml:space="preserve"> To capital project </t>
  </si>
  <si>
    <t xml:space="preserve">Capital Projects </t>
  </si>
  <si>
    <t>(outdoor gym)</t>
  </si>
  <si>
    <t>Chq No/Trans type</t>
  </si>
  <si>
    <t>Nationwide 95 day saver</t>
  </si>
  <si>
    <t>Less adjustment: Uncleared payments:</t>
  </si>
  <si>
    <t>Cohesion/wellbeing</t>
  </si>
  <si>
    <t xml:space="preserve">Pocket Park picnic bench </t>
  </si>
  <si>
    <t>Parkway benck</t>
  </si>
  <si>
    <t xml:space="preserve">Village Hall </t>
  </si>
  <si>
    <t>Road</t>
  </si>
  <si>
    <t>Path</t>
  </si>
  <si>
    <t>Path to playing field</t>
  </si>
  <si>
    <t>From green to playing field</t>
  </si>
  <si>
    <t>Asset value</t>
  </si>
  <si>
    <t>-  An explantation for the auditors of all differences above 15% between this and last year</t>
  </si>
  <si>
    <t>31 March 2022     £</t>
  </si>
  <si>
    <t>Rounded</t>
  </si>
  <si>
    <t>Audit bank rec</t>
  </si>
  <si>
    <t xml:space="preserve"> Cohesion / wellbeing </t>
  </si>
  <si>
    <t>Cohesion / wellbeing</t>
  </si>
  <si>
    <t>Financial Statement for year:</t>
  </si>
  <si>
    <t>Nationwide account</t>
  </si>
  <si>
    <t>Does the total equal Box 8 in Section 2 of the Annual Return?</t>
  </si>
  <si>
    <t>What is the figure in Box 8 in Section 2 of the Annual Return?</t>
  </si>
  <si>
    <t>Budget for 2023/24</t>
  </si>
  <si>
    <t>Safety reserve</t>
  </si>
  <si>
    <t>Total for Audit</t>
  </si>
  <si>
    <t>2021/22 valuation of £700 each is based on current prevailing market prices researched from suppliers via the internet</t>
  </si>
  <si>
    <t>Chairmans allowance</t>
  </si>
  <si>
    <t>Play area</t>
  </si>
  <si>
    <t>Lottery community grant</t>
  </si>
  <si>
    <t xml:space="preserve">Interest free loan </t>
  </si>
  <si>
    <t>Speed indicator device</t>
  </si>
  <si>
    <t>Total incl reserves &amp; grants</t>
  </si>
  <si>
    <t>Grant funding</t>
  </si>
  <si>
    <t>Gazebo</t>
  </si>
  <si>
    <t>dd</t>
  </si>
  <si>
    <t xml:space="preserve"> Pension Provision</t>
  </si>
  <si>
    <t>e</t>
  </si>
  <si>
    <t>l</t>
  </si>
  <si>
    <t>Anticpated income</t>
  </si>
  <si>
    <t>Anticipated outgoings</t>
  </si>
  <si>
    <t>Approx c/fwd</t>
  </si>
  <si>
    <t>xxxxxx</t>
  </si>
  <si>
    <t>Misc (Loan repayment)</t>
  </si>
  <si>
    <t>New play equipment</t>
  </si>
  <si>
    <t xml:space="preserve"> Arborioculture</t>
  </si>
  <si>
    <t>nett</t>
  </si>
  <si>
    <t>vat</t>
  </si>
  <si>
    <t>INVOICES</t>
  </si>
  <si>
    <t>Plot 21</t>
  </si>
  <si>
    <t>Plot 28a</t>
  </si>
  <si>
    <t>w</t>
  </si>
  <si>
    <t>cc</t>
  </si>
  <si>
    <t>ee</t>
  </si>
  <si>
    <t>ff</t>
  </si>
  <si>
    <t>gg</t>
  </si>
  <si>
    <t>plot 17.20,27a (11 from prev yr)</t>
  </si>
  <si>
    <t>Community grants</t>
  </si>
  <si>
    <t>Safety reserve (speed indicator device grant exp)</t>
  </si>
  <si>
    <t>Churchyard</t>
  </si>
  <si>
    <t>Interest free loan to sports club</t>
  </si>
  <si>
    <t>Y/E 31/3/23</t>
  </si>
  <si>
    <t>Lottery grant expenditure (jubilee</t>
  </si>
  <si>
    <t>Cohesion reserve (jubilee fund)</t>
  </si>
  <si>
    <t>Arboriculture</t>
  </si>
  <si>
    <t>This relates to expenditure of an incoming lottery grant for the Queen's jubilee community event</t>
  </si>
  <si>
    <t>various</t>
  </si>
  <si>
    <t>31 March 2022    £</t>
  </si>
  <si>
    <t>31 March 2023 £</t>
  </si>
  <si>
    <t>31 March 2023     £</t>
  </si>
  <si>
    <t>This relates to expenditure of an ear marked reserve designated for the Queen's jubilee community event</t>
  </si>
  <si>
    <t>REVISED Budget for 2023/24</t>
  </si>
  <si>
    <t>Budget for 2024/25</t>
  </si>
  <si>
    <t>% increase over 2023/24 budget</t>
  </si>
  <si>
    <t>Proposal for 2024/25</t>
  </si>
  <si>
    <t xml:space="preserve"> Churchyard </t>
  </si>
  <si>
    <t>Receipts, payments and budget for the financial year ending 31st March 2024</t>
  </si>
  <si>
    <t>Actual Last Year   (2022/23)</t>
  </si>
  <si>
    <t>Last Year   (2022/23)</t>
  </si>
  <si>
    <t>BnkChgs</t>
  </si>
  <si>
    <t>Pockit bank charge</t>
  </si>
  <si>
    <t>√</t>
  </si>
  <si>
    <t>Pockit</t>
  </si>
  <si>
    <t>Vire't number</t>
  </si>
  <si>
    <t xml:space="preserve"> Bank charges</t>
  </si>
  <si>
    <t>SSE</t>
  </si>
  <si>
    <t>AED in phone box electricity</t>
  </si>
  <si>
    <t>Streetlighting electric consumption</t>
  </si>
  <si>
    <t>PAYE</t>
  </si>
  <si>
    <t>HMRC</t>
  </si>
  <si>
    <t>Allotment rents</t>
  </si>
  <si>
    <t>dep</t>
  </si>
  <si>
    <t>2a</t>
  </si>
  <si>
    <t>6 &amp;7b</t>
  </si>
  <si>
    <t>Highways contract 22/23 season</t>
  </si>
  <si>
    <t>curr</t>
  </si>
  <si>
    <t>N'wide</t>
  </si>
  <si>
    <t>s/o</t>
  </si>
  <si>
    <t>Salary</t>
  </si>
  <si>
    <t>Sarah Rodger</t>
  </si>
  <si>
    <t>MultiPay set up fee</t>
  </si>
  <si>
    <t xml:space="preserve">Unity Trust Bank </t>
  </si>
  <si>
    <t>ERS pension</t>
  </si>
  <si>
    <t>EE  pension</t>
  </si>
  <si>
    <t>NEST</t>
  </si>
  <si>
    <t>Bk Payt</t>
  </si>
  <si>
    <t>Annual grant</t>
  </si>
  <si>
    <t>Nassington Village Hall trust</t>
  </si>
  <si>
    <t>K Palenski</t>
  </si>
  <si>
    <t>Amazon prime</t>
  </si>
  <si>
    <t>Amazon</t>
  </si>
  <si>
    <t xml:space="preserve">Printing for history group publicity </t>
  </si>
  <si>
    <t>Easiprint</t>
  </si>
  <si>
    <t>Internal audit service</t>
  </si>
  <si>
    <t>Northants CALC</t>
  </si>
  <si>
    <t>Membership &amp; DPO fee</t>
  </si>
  <si>
    <t>DD</t>
  </si>
  <si>
    <t>Data protection fee</t>
  </si>
  <si>
    <t>ICO</t>
  </si>
  <si>
    <t>VAT refund</t>
  </si>
  <si>
    <t>LB</t>
  </si>
  <si>
    <t>Display boards</t>
  </si>
  <si>
    <t>XL Displays</t>
  </si>
  <si>
    <t>SLCC membership</t>
  </si>
  <si>
    <t>SLCC</t>
  </si>
  <si>
    <t>Insurance premium</t>
  </si>
  <si>
    <t>BHIB insurance</t>
  </si>
  <si>
    <t xml:space="preserve">Verges </t>
  </si>
  <si>
    <t>Paediatric pads for AED</t>
  </si>
  <si>
    <t>Jubilee 2022 costs</t>
  </si>
  <si>
    <t>Churchyard grass-cutting</t>
  </si>
  <si>
    <t>CHT</t>
  </si>
  <si>
    <t xml:space="preserve">Pockit </t>
  </si>
  <si>
    <t>Laptop</t>
  </si>
  <si>
    <t>Dell</t>
  </si>
  <si>
    <t>Biscuit Tin from carol singing grant</t>
  </si>
  <si>
    <t>Litter pick sundries</t>
  </si>
  <si>
    <t>Correx board (&amp; delivery)</t>
  </si>
  <si>
    <t>erroneous underpayment</t>
  </si>
  <si>
    <t>Trees</t>
  </si>
  <si>
    <t>Walnut farm</t>
  </si>
  <si>
    <t>Costs incurred for histroy group event</t>
  </si>
  <si>
    <t>1</t>
  </si>
  <si>
    <t>Vire to biscuit tin revenue</t>
  </si>
  <si>
    <t>Multi pay monthly fee</t>
  </si>
  <si>
    <t>Lloyds commercial services</t>
  </si>
  <si>
    <t>Srewfix payment via CC</t>
  </si>
  <si>
    <t>Email storage spare to webhost via CC</t>
  </si>
  <si>
    <t>Plough environmental</t>
  </si>
  <si>
    <t>Tsohost</t>
  </si>
  <si>
    <t>Water at allotments</t>
  </si>
  <si>
    <t>Anglian Water business</t>
  </si>
  <si>
    <t>Underpayment from transaction 24</t>
  </si>
  <si>
    <t>Unused grant fund reimbursement</t>
  </si>
  <si>
    <t>Groundworks UK (Locality grant)</t>
  </si>
  <si>
    <t>History group posters</t>
  </si>
  <si>
    <t>Lloyds commercial card</t>
  </si>
  <si>
    <t>Create a new cost point vired from reserves - donation received in Jan 22/23 accounts (trans bb)</t>
  </si>
  <si>
    <t>2</t>
  </si>
  <si>
    <t>Vire £4500 deficit to NDP project, as unspent fund held at year end</t>
  </si>
  <si>
    <t>3</t>
  </si>
  <si>
    <t xml:space="preserve">Vire to new bk chgs cost point </t>
  </si>
  <si>
    <t>% of budget CP spent / rec'd</t>
  </si>
  <si>
    <t>4</t>
  </si>
  <si>
    <t>Increase reserve to reflect c/fwd</t>
  </si>
  <si>
    <t xml:space="preserve">Create a new bk chg cost point vired from office expenses </t>
  </si>
  <si>
    <t>Vire £4500 from reserves to clear deficit, as unspent fund held at year end</t>
  </si>
  <si>
    <t>Burial board grant</t>
  </si>
  <si>
    <t>Y&amp;N Burial Board</t>
  </si>
  <si>
    <t>Carol singing biscuit tin donation</t>
  </si>
  <si>
    <t>TsoHost doman name via Paypal</t>
  </si>
  <si>
    <t>TsoHost webhosting via Paypal</t>
  </si>
  <si>
    <t>July Multipay fee</t>
  </si>
  <si>
    <t>PAYE deductions</t>
  </si>
  <si>
    <t>Online Mapping</t>
  </si>
  <si>
    <t>Parish Online/Xeosphere</t>
  </si>
  <si>
    <t>History group income</t>
  </si>
  <si>
    <t>Dog bin emptying</t>
  </si>
  <si>
    <t>North Northants Council</t>
  </si>
  <si>
    <t>RoSPA inspection</t>
  </si>
  <si>
    <t>Playsafety ltd</t>
  </si>
  <si>
    <t>Oakfield Ltd</t>
  </si>
  <si>
    <t>Fencing materials</t>
  </si>
  <si>
    <t>Amazon credit note (Prime refund)</t>
  </si>
  <si>
    <t>Amazon UK</t>
  </si>
  <si>
    <t>Printer ink</t>
  </si>
  <si>
    <t>Biscuit tin/ 'Game on' games</t>
  </si>
  <si>
    <t>Fencing works</t>
  </si>
  <si>
    <t>PJ Muffett</t>
  </si>
  <si>
    <t>Allotment roadway material</t>
  </si>
  <si>
    <t>STJ Aggregates</t>
  </si>
  <si>
    <t>LS</t>
  </si>
  <si>
    <t>LoSC</t>
  </si>
  <si>
    <t>DR</t>
  </si>
  <si>
    <t>PM</t>
  </si>
  <si>
    <t>N'plan grant</t>
  </si>
  <si>
    <t>Cricket club loan repayment</t>
  </si>
  <si>
    <t>Audit fee</t>
  </si>
  <si>
    <t>PKF Littlejohn</t>
  </si>
  <si>
    <t>Neighbourhood plan</t>
  </si>
  <si>
    <t>Your locale</t>
  </si>
  <si>
    <t>Website SSL</t>
  </si>
  <si>
    <t>Paragon internet</t>
  </si>
  <si>
    <t>History group flyers</t>
  </si>
  <si>
    <t>Magnetic pins for noticeboard</t>
  </si>
  <si>
    <t>UTB service charge</t>
  </si>
  <si>
    <t>AED adult pads</t>
  </si>
  <si>
    <t>5a</t>
  </si>
  <si>
    <t>23a</t>
  </si>
  <si>
    <t>18</t>
  </si>
  <si>
    <t>22a</t>
  </si>
  <si>
    <t>23b</t>
  </si>
  <si>
    <t>6/7b</t>
  </si>
  <si>
    <t>26b</t>
  </si>
  <si>
    <t>24</t>
  </si>
  <si>
    <t>15/16</t>
  </si>
  <si>
    <t>28a</t>
  </si>
  <si>
    <t>5</t>
  </si>
  <si>
    <t>= Anticpated reserves</t>
  </si>
  <si>
    <t>Bank charges</t>
  </si>
  <si>
    <t>Allotment waste clearance</t>
  </si>
  <si>
    <t xml:space="preserve"> Biscuit Tin community hub room hire</t>
  </si>
  <si>
    <t>Oct Multipay fee</t>
  </si>
  <si>
    <t>Amazon fly tipping notices</t>
  </si>
  <si>
    <t>History Group poster priniting</t>
  </si>
  <si>
    <t>Mnick George Skip Hire</t>
  </si>
  <si>
    <t>Iris 12 pay payroll software</t>
  </si>
  <si>
    <t>Land registry fee</t>
  </si>
  <si>
    <t>Microsoft subscription</t>
  </si>
  <si>
    <t>Wave (Anglian water business)</t>
  </si>
  <si>
    <t>Churchyard/playing field grass-cutting</t>
  </si>
  <si>
    <t>Gravel at allotments</t>
  </si>
  <si>
    <t>Community asset groundworks</t>
  </si>
  <si>
    <t>James Broughton Ltd</t>
  </si>
  <si>
    <t>25. 26a &amp; 4a</t>
  </si>
  <si>
    <t>Carol singing donation</t>
  </si>
  <si>
    <t>Misc (incl NCC loan repayment)</t>
  </si>
  <si>
    <t>6</t>
  </si>
  <si>
    <t>Increase misc income by 221 to reflect donations</t>
  </si>
  <si>
    <t>7</t>
  </si>
  <si>
    <t>Increase NDP grant income to reflect status</t>
  </si>
  <si>
    <t>Increase anticpated interest income by £2632</t>
  </si>
  <si>
    <t>9</t>
  </si>
  <si>
    <t>Increase history group to reflect donation to £570</t>
  </si>
  <si>
    <t>10</t>
  </si>
  <si>
    <t xml:space="preserve">Increase carol singing/biscuit tin budget by £150 </t>
  </si>
  <si>
    <t>11</t>
  </si>
  <si>
    <t xml:space="preserve">Vire £1500 from reserves to NDP </t>
  </si>
  <si>
    <t>Increase overall income by £7053.00, increase reserves by same amount</t>
  </si>
  <si>
    <t>Nov Multipay fee</t>
  </si>
  <si>
    <t>PDF software</t>
  </si>
  <si>
    <t>PDF software refund</t>
  </si>
  <si>
    <t>Rocksalt</t>
  </si>
  <si>
    <t>Mowerman</t>
  </si>
  <si>
    <t xml:space="preserve">Membership  </t>
  </si>
  <si>
    <t>Northants ACRE</t>
  </si>
  <si>
    <t>Grounds works</t>
  </si>
  <si>
    <t>AED phone box electric consumption</t>
  </si>
  <si>
    <t>17/20/27a</t>
  </si>
  <si>
    <t>Cash allotment rents</t>
  </si>
  <si>
    <t>19</t>
  </si>
  <si>
    <t>4b</t>
  </si>
  <si>
    <t>Jan Multipay fee</t>
  </si>
  <si>
    <t>Dec Multipay fee</t>
  </si>
  <si>
    <t>21</t>
  </si>
  <si>
    <t>8</t>
  </si>
  <si>
    <t>Grass cutting dev services</t>
  </si>
  <si>
    <t>current</t>
  </si>
  <si>
    <t>Y/E 31/3/24</t>
  </si>
  <si>
    <t>History group costs</t>
  </si>
  <si>
    <t>Web hosting - payt to Wix</t>
  </si>
  <si>
    <t>Multipay fee</t>
  </si>
  <si>
    <t>Nassington Newsletter grant</t>
  </si>
  <si>
    <t>Nassington Newsletter</t>
  </si>
  <si>
    <t>Meeting fees</t>
  </si>
  <si>
    <t>Office costs</t>
  </si>
  <si>
    <t>Playing field moles control contract</t>
  </si>
  <si>
    <t>Peterborough Pestforce</t>
  </si>
  <si>
    <t>Peterborough Print</t>
  </si>
  <si>
    <t>Manual credit handling charge</t>
  </si>
  <si>
    <t>Last year (y/e31/3/23)</t>
  </si>
  <si>
    <t>This year (y/e 31/3/24)</t>
  </si>
  <si>
    <t xml:space="preserve"> NALC, ACRE &amp; SLCC </t>
  </si>
  <si>
    <t xml:space="preserve"> Comms Website &amp; newsletter</t>
  </si>
  <si>
    <t>The council invested in a new Dell laptop in 2023/24 (£695).  Previously, bank charges were charged to this cost point, but now have a separate CP. The council benefited from shared services in previous years as the clerk worked for more than one council, but now is solely responsible for costs such as support software services (payroll and office365)</t>
  </si>
  <si>
    <t>Bank charges is a new CP</t>
  </si>
  <si>
    <t>This increase reflects CPI increase from supplier</t>
  </si>
  <si>
    <t>De-minimus increase</t>
  </si>
  <si>
    <t>The council paid ACRE membership following a break of a number of years.  The council benefited from shared services in previous years as the clerk worked for more than one council, but now is solely responsible for SLCC membership</t>
  </si>
  <si>
    <t>There were more public meetings (in addition to PC meetings, eg Neighbourhood planning and allotment committee)</t>
  </si>
  <si>
    <t>Chair's allowance was not claimed on 2023/24</t>
  </si>
  <si>
    <t>The previous contract for electricity consumption came to an end.  The increase reflects market conditions</t>
  </si>
  <si>
    <t>The parish council granted some groundskeeping equipment to the sports association in 2022/23, as that organisation is responsible for the upkeep of the council's playing field. The cost was £7152.  In 2023/24, repair works cost £780.  Annual cost of pest control and RoSPA inspection were same as previous year but with 4.75% average increase</t>
  </si>
  <si>
    <t>Increased costs in 23/24 - £563 on allotment clearance plus £705 on groundsworks and fencing</t>
  </si>
  <si>
    <t>The final invoice for y/e 31/3/23 for NDP was paid in 23/24 plus an additional two more invoices for consultancy and consultation works</t>
  </si>
  <si>
    <t>This CP was included in cohesion in 22/23</t>
  </si>
  <si>
    <t>The trees in the closed churchyard were pollarded in 22/23, but in that year costs of groundsworks was included in 'footpaths/environment' .  In 23/24 the churchyard cost has been entirely grasscutting/groundsworks</t>
  </si>
  <si>
    <t>Tree inspection and some remedial work was commissioned in 22/23, but none in 23/24</t>
  </si>
  <si>
    <t>The council procured a speed indicator device in 22/23, but no expenditure in 23/24</t>
  </si>
  <si>
    <t>New during 202324</t>
  </si>
  <si>
    <t>Virements</t>
  </si>
  <si>
    <t>The clerk/RFO did not receive full pay increase awarded in November 2022 for 22/23 because there was an omission in calculating and paying the backdated shortfall.  Had this been correctly paid, the difference between 22/23 &amp; 23/34 would be lower.  The difference reflects the NJC increase implemented during 23/24 and backdated to April 2023 and the corresponding cost of increased pension.</t>
  </si>
  <si>
    <t>Cost point</t>
  </si>
  <si>
    <t xml:space="preserve">Prof fees included an independent property valuation in 22/23 and mapping software, in 23/24 </t>
  </si>
  <si>
    <t>The council granted £500 to Nassington Newsletter - this is a free community publication delivered to every home in the parish each month.  The council uses it frequently to communicate to 'harder to reach' members of the public.  It has been self supporting for many years, but production costs have risen and advertising revenue fallen.</t>
  </si>
  <si>
    <t>Footpath groundworks in 22/23 of £4790 plus £895 biodiversity improvement project, in addition to general groundworks.   The CP for works that were previously included in this section have moved to 'churchyard' and 'highways/amenities'</t>
  </si>
  <si>
    <t>This increase reflects movement from 'footpaths/environment' CP in previous year</t>
  </si>
  <si>
    <t>The council financially supports a village history group.  The costs are increasing as the public engagement events increase in number</t>
  </si>
  <si>
    <t xml:space="preserve">The council lent the village cricket club some money for refurbishment works to the pavilion, which the parish council owns and leases to the cricket club in 22/23.  </t>
  </si>
  <si>
    <t>in 22/23, the council organised a fully inclusive free community event for the Queen's jubilee,  donated a community mobile AED to a heartsafe charity,  and supported a warm hub and joined a community wellbeing charity "Good Neighbours Rural Peterborough".  In 2023/24, there were fewer costs - expenditure covered community space rent for the 'wellbeing hub' which meets weekly plus electricity costs of community AEDs.</t>
  </si>
  <si>
    <t>The council granted funds to a number of community organisations - the community (CIC) preschool and the charity supporting the village school extra curricular activities in 2022/23 but none in 23/24.</t>
  </si>
  <si>
    <t>VAT decrease reflects decrease in spending</t>
  </si>
  <si>
    <t>The council is mindful of section 5.30-5.38 of the 2023 Practitioners' Guide.  It is purposefully building reserves and is aware that it is holding higher than expected reserves.  This is due to a community need for a new village hall / community / recreation hub.  This requirement is one of the primary reasons the council is in the process of undertaking a Neighbourhood Development Plan.  The high level of earmarked reserve is minuted in our January 23 minutes 23/24 and December 23 for 24/25.  General reserves at £40,535.  A play area capital expenditure EMR of £12,383 and a 'Recreation reserve' for the community hub project of £60,034.  Plus EMR for election expenses and £444 community cohesion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</si>
</sst>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Red]#,##0.00"/>
    <numFmt numFmtId="165" formatCode="#,##0.00_ ;[Red]\-#,##0.00\ "/>
    <numFmt numFmtId="166" formatCode="_-* #,##0_-;\-* #,##0_-;_-* &quot;-&quot;??_-;_-@_-"/>
    <numFmt numFmtId="167" formatCode="_-* #,##0.00000_-;\-* #,##0.00000_-;_-* &quot;-&quot;??_-;_-@_-"/>
    <numFmt numFmtId="168" formatCode="dd\ mmm\ yy\ "/>
    <numFmt numFmtId="169" formatCode="#,##0\ ;\(#,##0\);\-\ \ \ ;"/>
    <numFmt numFmtId="170" formatCode="#,##0.00\ ;\(#,##0.00\);\-\ \ \ ;"/>
    <numFmt numFmtId="172" formatCode="dd\ mmm\ yy"/>
    <numFmt numFmtId="173" formatCode="[$-809]dd\ mmmm\ yyyy;@"/>
    <numFmt numFmtId="174" formatCode="&quot;£&quot;#,##0.00"/>
    <numFmt numFmtId="175" formatCode="dd/mmm/yyyy"/>
    <numFmt numFmtId="176" formatCode="#,##0_ ;[Red]\-#,##0\ "/>
    <numFmt numFmtId="177" formatCode="0.00_ ;[Red]\-0.00\ "/>
    <numFmt numFmtId="178" formatCode="0.0%"/>
    <numFmt numFmtId="179" formatCode="mmm\ yyyy"/>
    <numFmt numFmtId="180" formatCode="\ mmm\ yy"/>
    <numFmt numFmtId="182" formatCode="#,##0.00_ ;\-#,##0.00\ "/>
  </numFmts>
  <fonts count="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62"/>
      <name val="Calibri"/>
      <family val="2"/>
    </font>
    <font>
      <b/>
      <sz val="11"/>
      <color indexed="63"/>
      <name val="Calibri"/>
      <family val="2"/>
    </font>
    <font>
      <b/>
      <sz val="11"/>
      <color indexed="53"/>
      <name val="Calibri"/>
      <family val="2"/>
    </font>
    <font>
      <sz val="11"/>
      <color indexed="53"/>
      <name val="Calibri"/>
      <family val="2"/>
    </font>
    <font>
      <b/>
      <sz val="11"/>
      <color indexed="9"/>
      <name val="Calibri"/>
      <family val="2"/>
    </font>
    <font>
      <sz val="11"/>
      <color indexed="10"/>
      <name val="Calibri"/>
      <family val="2"/>
    </font>
    <font>
      <sz val="11"/>
      <color indexed="9"/>
      <name val="Calibri"/>
      <family val="2"/>
    </font>
    <font>
      <sz val="11"/>
      <color indexed="8"/>
      <name val="Calibri"/>
      <family val="2"/>
    </font>
    <font>
      <sz val="10"/>
      <name val="Arial"/>
      <family val="2"/>
    </font>
    <font>
      <b/>
      <sz val="12"/>
      <name val="Arial"/>
      <family val="2"/>
    </font>
    <font>
      <b/>
      <sz val="11"/>
      <name val="Arial"/>
      <family val="2"/>
    </font>
    <font>
      <sz val="10"/>
      <name val="Arial Unicode MS"/>
      <family val="2"/>
    </font>
    <font>
      <sz val="8"/>
      <name val="Arial"/>
      <family val="2"/>
    </font>
    <font>
      <sz val="11"/>
      <name val="Calibri"/>
      <family val="2"/>
    </font>
    <font>
      <b/>
      <sz val="11"/>
      <name val="Calibri"/>
      <family val="2"/>
    </font>
    <font>
      <sz val="10"/>
      <name val="Calibri"/>
      <family val="2"/>
    </font>
    <font>
      <sz val="10.5"/>
      <name val="Calibri"/>
      <family val="2"/>
    </font>
    <font>
      <b/>
      <sz val="10.5"/>
      <name val="Calibri"/>
      <family val="2"/>
    </font>
    <font>
      <sz val="11"/>
      <color indexed="18"/>
      <name val="Calibri"/>
      <family val="2"/>
    </font>
    <font>
      <b/>
      <sz val="11"/>
      <color indexed="18"/>
      <name val="Calibri"/>
      <family val="2"/>
    </font>
    <font>
      <sz val="11"/>
      <color indexed="22"/>
      <name val="Calibri"/>
      <family val="2"/>
    </font>
    <font>
      <b/>
      <sz val="11"/>
      <color indexed="10"/>
      <name val="Calibri"/>
      <family val="2"/>
    </font>
    <font>
      <b/>
      <sz val="14"/>
      <name val="Calibri"/>
      <family val="2"/>
    </font>
    <font>
      <sz val="14"/>
      <name val="Arial"/>
      <family val="2"/>
    </font>
    <font>
      <b/>
      <sz val="12"/>
      <name val="Calibri"/>
      <family val="2"/>
    </font>
    <font>
      <sz val="12"/>
      <name val="Calibri"/>
      <family val="2"/>
    </font>
    <font>
      <sz val="10"/>
      <name val="Arial"/>
      <family val="2"/>
    </font>
    <font>
      <sz val="11"/>
      <name val="Arial"/>
      <family val="2"/>
    </font>
    <font>
      <i/>
      <sz val="11"/>
      <name val="Calibri"/>
      <family val="2"/>
    </font>
    <font>
      <sz val="9"/>
      <color indexed="81"/>
      <name val="Tahoma"/>
      <family val="2"/>
    </font>
    <font>
      <sz val="11"/>
      <name val="Calibri"/>
      <family val="2"/>
      <scheme val="minor"/>
    </font>
    <font>
      <i/>
      <sz val="11"/>
      <name val="Calibri"/>
      <family val="2"/>
      <scheme val="minor"/>
    </font>
    <font>
      <b/>
      <sz val="11"/>
      <color theme="6" tint="0.79998168889431442"/>
      <name val="Calibri"/>
      <family val="2"/>
    </font>
    <font>
      <i/>
      <sz val="11"/>
      <color theme="4" tint="-0.24994659260841701"/>
      <name val="Calibri"/>
      <family val="2"/>
      <scheme val="minor"/>
    </font>
    <font>
      <sz val="11"/>
      <color rgb="FF0070C0"/>
      <name val="Calibri"/>
      <family val="2"/>
    </font>
    <font>
      <sz val="10"/>
      <name val="Arial"/>
      <family val="2"/>
    </font>
    <font>
      <sz val="10"/>
      <name val="Arial"/>
      <family val="2"/>
    </font>
    <font>
      <b/>
      <sz val="11"/>
      <color theme="3"/>
      <name val="Calibri"/>
      <family val="2"/>
    </font>
    <font>
      <sz val="11"/>
      <color theme="0"/>
      <name val="Calibri"/>
      <family val="2"/>
    </font>
    <font>
      <b/>
      <sz val="11"/>
      <color theme="0"/>
      <name val="Calibri"/>
      <family val="2"/>
    </font>
    <font>
      <sz val="12"/>
      <name val="Calibri"/>
      <family val="2"/>
      <scheme val="minor"/>
    </font>
    <font>
      <b/>
      <sz val="12"/>
      <color indexed="54"/>
      <name val="Calibri"/>
      <family val="2"/>
      <scheme val="minor"/>
    </font>
    <font>
      <sz val="12"/>
      <color theme="0"/>
      <name val="Calibri"/>
      <family val="2"/>
      <scheme val="minor"/>
    </font>
    <font>
      <b/>
      <sz val="12"/>
      <name val="Calibri"/>
      <family val="2"/>
      <scheme val="minor"/>
    </font>
    <font>
      <sz val="12"/>
      <color indexed="56"/>
      <name val="Calibri"/>
      <family val="2"/>
      <scheme val="minor"/>
    </font>
    <font>
      <sz val="12"/>
      <color indexed="9"/>
      <name val="Calibri"/>
      <family val="2"/>
      <scheme val="minor"/>
    </font>
    <font>
      <u/>
      <sz val="12"/>
      <color indexed="12"/>
      <name val="Calibri"/>
      <family val="2"/>
      <scheme val="minor"/>
    </font>
    <font>
      <u/>
      <sz val="12"/>
      <color indexed="9"/>
      <name val="Calibri"/>
      <family val="2"/>
      <scheme val="minor"/>
    </font>
    <font>
      <sz val="11"/>
      <name val="Sylfaen"/>
      <family val="1"/>
    </font>
    <font>
      <sz val="11"/>
      <color theme="1"/>
      <name val="Calibri"/>
      <family val="2"/>
      <charset val="204"/>
      <scheme val="minor"/>
    </font>
    <font>
      <b/>
      <sz val="11"/>
      <color theme="3" tint="-0.499984740745262"/>
      <name val="Calibri"/>
      <family val="2"/>
    </font>
    <font>
      <sz val="11"/>
      <color theme="3" tint="-0.499984740745262"/>
      <name val="Calibri"/>
      <family val="2"/>
    </font>
    <font>
      <b/>
      <sz val="10"/>
      <color indexed="62"/>
      <name val="Calibri"/>
      <family val="2"/>
    </font>
    <font>
      <sz val="10"/>
      <name val="Verdana"/>
      <family val="2"/>
    </font>
    <font>
      <b/>
      <sz val="11"/>
      <name val="Calibri"/>
      <family val="2"/>
      <scheme val="minor"/>
    </font>
    <font>
      <sz val="11"/>
      <color indexed="10"/>
      <name val="Calibri"/>
      <family val="2"/>
      <scheme val="minor"/>
    </font>
    <font>
      <b/>
      <sz val="9"/>
      <color indexed="81"/>
      <name val="Tahoma"/>
      <family val="2"/>
    </font>
    <font>
      <b/>
      <sz val="11"/>
      <color rgb="FF002060"/>
      <name val="Calibri"/>
      <family val="2"/>
    </font>
    <font>
      <strike/>
      <sz val="11"/>
      <name val="Calibri"/>
      <family val="2"/>
      <scheme val="minor"/>
    </font>
    <font>
      <sz val="10.5"/>
      <name val="Calibri"/>
      <family val="2"/>
      <scheme val="minor"/>
    </font>
    <font>
      <sz val="12"/>
      <color rgb="FFFF0000"/>
      <name val="Calibri"/>
      <family val="2"/>
      <scheme val="minor"/>
    </font>
    <font>
      <b/>
      <sz val="12"/>
      <color theme="4" tint="-0.499984740745262"/>
      <name val="Calibri"/>
      <family val="2"/>
    </font>
    <font>
      <b/>
      <sz val="10.5"/>
      <color rgb="FF7030A0"/>
      <name val="Calibri"/>
      <family val="2"/>
    </font>
    <font>
      <b/>
      <sz val="11"/>
      <color theme="9" tint="-0.249977111117893"/>
      <name val="Calibri"/>
      <family val="2"/>
    </font>
    <font>
      <b/>
      <sz val="11"/>
      <color rgb="FF7030A0"/>
      <name val="Calibri"/>
      <family val="2"/>
    </font>
    <font>
      <b/>
      <sz val="11"/>
      <color theme="6" tint="-0.499984740745262"/>
      <name val="Calibri"/>
      <family val="2"/>
    </font>
    <font>
      <b/>
      <sz val="11"/>
      <color theme="5" tint="0.79998168889431442"/>
      <name val="Calibri"/>
      <family val="2"/>
    </font>
    <font>
      <sz val="11"/>
      <color theme="5" tint="0.79998168889431442"/>
      <name val="Calibri"/>
      <family val="2"/>
    </font>
    <font>
      <b/>
      <sz val="11"/>
      <color theme="7" tint="0.79998168889431442"/>
      <name val="Calibri"/>
      <family val="2"/>
    </font>
    <font>
      <sz val="11"/>
      <color theme="3" tint="0.39997558519241921"/>
      <name val="Calibri"/>
      <family val="2"/>
      <scheme val="minor"/>
    </font>
    <font>
      <sz val="10"/>
      <name val="Arial"/>
      <family val="2"/>
    </font>
    <font>
      <b/>
      <sz val="11"/>
      <color rgb="FFFF0000"/>
      <name val="Calibri"/>
      <family val="2"/>
    </font>
    <font>
      <sz val="9"/>
      <name val="Calibri"/>
      <family val="2"/>
    </font>
    <font>
      <sz val="11"/>
      <color rgb="FFFF0000"/>
      <name val="Calibri"/>
      <family val="2"/>
    </font>
    <font>
      <sz val="9"/>
      <name val="Segoe UI"/>
      <family val="2"/>
    </font>
  </fonts>
  <fills count="33">
    <fill>
      <patternFill patternType="none"/>
    </fill>
    <fill>
      <patternFill patternType="gray125"/>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4"/>
      </patternFill>
    </fill>
    <fill>
      <patternFill patternType="solid">
        <fgColor theme="0" tint="-0.14999847407452621"/>
        <bgColor indexed="64"/>
      </patternFill>
    </fill>
  </fills>
  <borders count="2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right style="thin">
        <color indexed="64"/>
      </right>
      <top style="thin">
        <color indexed="64"/>
      </top>
      <bottom style="double">
        <color indexed="64"/>
      </bottom>
      <diagonal/>
    </border>
    <border>
      <left style="hair">
        <color indexed="23"/>
      </left>
      <right style="hair">
        <color indexed="23"/>
      </right>
      <top style="hair">
        <color indexed="23"/>
      </top>
      <bottom style="hair">
        <color indexed="23"/>
      </bottom>
      <diagonal/>
    </border>
    <border>
      <left style="hair">
        <color indexed="23"/>
      </left>
      <right style="hair">
        <color indexed="23"/>
      </right>
      <top/>
      <bottom/>
      <diagonal/>
    </border>
    <border>
      <left style="hair">
        <color indexed="23"/>
      </left>
      <right style="hair">
        <color indexed="23"/>
      </right>
      <top/>
      <bottom style="hair">
        <color indexed="23"/>
      </bottom>
      <diagonal/>
    </border>
    <border>
      <left/>
      <right/>
      <top style="hair">
        <color indexed="23"/>
      </top>
      <bottom style="hair">
        <color indexed="23"/>
      </bottom>
      <diagonal/>
    </border>
    <border>
      <left/>
      <right/>
      <top/>
      <bottom style="hair">
        <color indexed="23"/>
      </bottom>
      <diagonal/>
    </border>
    <border>
      <left style="hair">
        <color indexed="23"/>
      </left>
      <right style="hair">
        <color indexed="23"/>
      </right>
      <top style="hair">
        <color indexed="23"/>
      </top>
      <bottom/>
      <diagonal/>
    </border>
    <border>
      <left style="hair">
        <color indexed="23"/>
      </left>
      <right style="hair">
        <color indexed="23"/>
      </right>
      <top style="hair">
        <color indexed="23"/>
      </top>
      <bottom style="thin">
        <color indexed="64"/>
      </bottom>
      <diagonal/>
    </border>
    <border>
      <left/>
      <right style="hair">
        <color indexed="23"/>
      </right>
      <top style="hair">
        <color indexed="23"/>
      </top>
      <bottom style="hair">
        <color indexed="23"/>
      </bottom>
      <diagonal/>
    </border>
    <border>
      <left/>
      <right style="hair">
        <color indexed="23"/>
      </right>
      <top style="hair">
        <color indexed="23"/>
      </top>
      <bottom/>
      <diagonal/>
    </border>
    <border>
      <left/>
      <right/>
      <top/>
      <bottom style="thin">
        <color indexed="64"/>
      </bottom>
      <diagonal/>
    </border>
    <border>
      <left/>
      <right/>
      <top/>
      <bottom style="thin">
        <color indexed="23"/>
      </bottom>
      <diagonal/>
    </border>
    <border>
      <left style="hair">
        <color indexed="64"/>
      </left>
      <right style="hair">
        <color indexed="64"/>
      </right>
      <top/>
      <bottom style="thin">
        <color indexed="23"/>
      </bottom>
      <diagonal/>
    </border>
    <border>
      <left/>
      <right style="hair">
        <color indexed="64"/>
      </right>
      <top/>
      <bottom style="thin">
        <color indexed="23"/>
      </bottom>
      <diagonal/>
    </border>
    <border>
      <left style="hair">
        <color indexed="23"/>
      </left>
      <right style="thin">
        <color indexed="64"/>
      </right>
      <top style="hair">
        <color indexed="23"/>
      </top>
      <bottom style="hair">
        <color indexed="23"/>
      </bottom>
      <diagonal/>
    </border>
    <border>
      <left/>
      <right style="hair">
        <color indexed="23"/>
      </right>
      <top style="hair">
        <color indexed="23"/>
      </top>
      <bottom style="thin">
        <color indexed="64"/>
      </bottom>
      <diagonal/>
    </border>
    <border>
      <left/>
      <right style="hair">
        <color indexed="64"/>
      </right>
      <top/>
      <bottom style="thin">
        <color indexed="64"/>
      </bottom>
      <diagonal/>
    </border>
    <border>
      <left/>
      <right style="hair">
        <color indexed="64"/>
      </right>
      <top style="thin">
        <color indexed="23"/>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23"/>
      </top>
      <bottom/>
      <diagonal/>
    </border>
    <border>
      <left style="hair">
        <color indexed="64"/>
      </left>
      <right style="hair">
        <color indexed="64"/>
      </right>
      <top style="hair">
        <color indexed="23"/>
      </top>
      <bottom style="hair">
        <color indexed="23"/>
      </bottom>
      <diagonal/>
    </border>
    <border>
      <left style="hair">
        <color indexed="23"/>
      </left>
      <right/>
      <top style="hair">
        <color indexed="23"/>
      </top>
      <bottom style="hair">
        <color indexed="23"/>
      </bottom>
      <diagonal/>
    </border>
    <border>
      <left style="hair">
        <color indexed="64"/>
      </left>
      <right/>
      <top/>
      <bottom style="thin">
        <color indexed="23"/>
      </bottom>
      <diagonal/>
    </border>
    <border>
      <left style="hair">
        <color indexed="23"/>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23"/>
      </bottom>
      <diagonal/>
    </border>
    <border>
      <left style="thin">
        <color indexed="64"/>
      </left>
      <right/>
      <top/>
      <bottom style="thin">
        <color indexed="64"/>
      </bottom>
      <diagonal/>
    </border>
    <border>
      <left style="hair">
        <color indexed="23"/>
      </left>
      <right style="hair">
        <color indexed="64"/>
      </right>
      <top style="hair">
        <color indexed="23"/>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hair">
        <color indexed="23"/>
      </left>
      <right style="thin">
        <color indexed="64"/>
      </right>
      <top style="hair">
        <color indexed="23"/>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23"/>
      </left>
      <right/>
      <top style="hair">
        <color indexed="23"/>
      </top>
      <bottom/>
      <diagonal/>
    </border>
    <border>
      <left/>
      <right style="thin">
        <color indexed="64"/>
      </right>
      <top/>
      <bottom style="hair">
        <color indexed="23"/>
      </bottom>
      <diagonal/>
    </border>
    <border>
      <left style="thin">
        <color indexed="64"/>
      </left>
      <right style="hair">
        <color theme="0" tint="-0.249977111117893"/>
      </right>
      <top style="thin">
        <color indexed="64"/>
      </top>
      <bottom style="thin">
        <color indexed="64"/>
      </bottom>
      <diagonal/>
    </border>
    <border>
      <left style="hair">
        <color theme="0" tint="-0.249977111117893"/>
      </left>
      <right style="hair">
        <color theme="0" tint="-0.249977111117893"/>
      </right>
      <top style="thin">
        <color indexed="64"/>
      </top>
      <bottom style="thin">
        <color indexed="64"/>
      </bottom>
      <diagonal/>
    </border>
    <border>
      <left style="thin">
        <color indexed="64"/>
      </left>
      <right style="hair">
        <color theme="0" tint="-0.249977111117893"/>
      </right>
      <top style="thin">
        <color indexed="64"/>
      </top>
      <bottom/>
      <diagonal/>
    </border>
    <border>
      <left style="hair">
        <color theme="0" tint="-0.249977111117893"/>
      </left>
      <right style="hair">
        <color theme="0" tint="-0.249977111117893"/>
      </right>
      <top style="thin">
        <color indexed="64"/>
      </top>
      <bottom/>
      <diagonal/>
    </border>
    <border>
      <left style="thin">
        <color indexed="64"/>
      </left>
      <right style="hair">
        <color theme="0" tint="-0.249977111117893"/>
      </right>
      <top/>
      <bottom/>
      <diagonal/>
    </border>
    <border>
      <left style="hair">
        <color theme="0" tint="-0.249977111117893"/>
      </left>
      <right style="hair">
        <color theme="0" tint="-0.249977111117893"/>
      </right>
      <top/>
      <bottom/>
      <diagonal/>
    </border>
    <border>
      <left style="thin">
        <color indexed="64"/>
      </left>
      <right style="thin">
        <color indexed="64"/>
      </right>
      <top style="thin">
        <color indexed="64"/>
      </top>
      <bottom style="hair">
        <color theme="0" tint="-0.249977111117893"/>
      </bottom>
      <diagonal/>
    </border>
    <border>
      <left/>
      <right/>
      <top style="hair">
        <color theme="0" tint="-0.249977111117893"/>
      </top>
      <bottom style="hair">
        <color theme="0" tint="-0.249977111117893"/>
      </bottom>
      <diagonal/>
    </border>
    <border>
      <left style="hair">
        <color theme="0" tint="-0.249977111117893"/>
      </left>
      <right style="thin">
        <color indexed="64"/>
      </right>
      <top style="thin">
        <color indexed="64"/>
      </top>
      <bottom/>
      <diagonal/>
    </border>
    <border>
      <left style="hair">
        <color theme="0" tint="-0.249977111117893"/>
      </left>
      <right style="thin">
        <color indexed="64"/>
      </right>
      <top/>
      <bottom/>
      <diagonal/>
    </border>
    <border>
      <left style="hair">
        <color theme="0" tint="-0.249977111117893"/>
      </left>
      <right style="thin">
        <color indexed="64"/>
      </right>
      <top style="hair">
        <color theme="0" tint="-0.249977111117893"/>
      </top>
      <bottom style="hair">
        <color theme="0" tint="-0.249977111117893"/>
      </bottom>
      <diagonal/>
    </border>
    <border>
      <left style="hair">
        <color theme="0" tint="-0.249977111117893"/>
      </left>
      <right style="thin">
        <color indexed="64"/>
      </right>
      <top style="thin">
        <color indexed="64"/>
      </top>
      <bottom style="hair">
        <color theme="0" tint="-0.249977111117893"/>
      </bottom>
      <diagonal/>
    </border>
    <border>
      <left style="thin">
        <color indexed="64"/>
      </left>
      <right/>
      <top style="hair">
        <color indexed="23"/>
      </top>
      <bottom style="hair">
        <color indexed="23"/>
      </bottom>
      <diagonal/>
    </border>
    <border>
      <left style="thin">
        <color indexed="64"/>
      </left>
      <right/>
      <top/>
      <bottom style="thin">
        <color indexed="23"/>
      </bottom>
      <diagonal/>
    </border>
    <border>
      <left/>
      <right style="hair">
        <color theme="0" tint="-0.249977111117893"/>
      </right>
      <top style="thin">
        <color indexed="64"/>
      </top>
      <bottom/>
      <diagonal/>
    </border>
    <border>
      <left/>
      <right style="hair">
        <color theme="0" tint="-0.249977111117893"/>
      </right>
      <top/>
      <bottom/>
      <diagonal/>
    </border>
    <border>
      <left/>
      <right style="hair">
        <color theme="0" tint="-0.249977111117893"/>
      </right>
      <top/>
      <bottom style="thin">
        <color indexed="64"/>
      </bottom>
      <diagonal/>
    </border>
    <border>
      <left style="thin">
        <color theme="0"/>
      </left>
      <right style="thin">
        <color theme="0"/>
      </right>
      <top style="thin">
        <color theme="0"/>
      </top>
      <bottom style="thin">
        <color theme="0"/>
      </bottom>
      <diagonal/>
    </border>
    <border>
      <left style="hair">
        <color theme="3" tint="0.79998168889431442"/>
      </left>
      <right style="hair">
        <color theme="3" tint="0.79998168889431442"/>
      </right>
      <top style="hair">
        <color theme="3" tint="0.79998168889431442"/>
      </top>
      <bottom style="hair">
        <color theme="3" tint="0.79998168889431442"/>
      </bottom>
      <diagonal/>
    </border>
    <border>
      <left style="hair">
        <color theme="3" tint="0.79998168889431442"/>
      </left>
      <right style="hair">
        <color theme="3" tint="0.79998168889431442"/>
      </right>
      <top/>
      <bottom style="hair">
        <color theme="3" tint="0.79998168889431442"/>
      </bottom>
      <diagonal/>
    </border>
    <border>
      <left style="hair">
        <color theme="3" tint="0.79998168889431442"/>
      </left>
      <right style="thin">
        <color indexed="64"/>
      </right>
      <top/>
      <bottom style="hair">
        <color theme="3" tint="0.79998168889431442"/>
      </bottom>
      <diagonal/>
    </border>
    <border>
      <left/>
      <right style="hair">
        <color indexed="23"/>
      </right>
      <top/>
      <bottom/>
      <diagonal/>
    </border>
    <border>
      <left style="medium">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hair">
        <color theme="0" tint="-0.249977111117893"/>
      </left>
      <right style="thin">
        <color indexed="64"/>
      </right>
      <top style="hair">
        <color theme="0" tint="-0.249977111117893"/>
      </top>
      <bottom style="thin">
        <color indexed="64"/>
      </bottom>
      <diagonal/>
    </border>
    <border>
      <left style="thin">
        <color indexed="64"/>
      </left>
      <right style="thin">
        <color indexed="64"/>
      </right>
      <top style="hair">
        <color theme="0" tint="-0.249977111117893"/>
      </top>
      <bottom style="thin">
        <color indexed="64"/>
      </bottom>
      <diagonal/>
    </border>
    <border>
      <left style="thin">
        <color indexed="64"/>
      </left>
      <right style="hair">
        <color theme="0" tint="-0.249977111117893"/>
      </right>
      <top/>
      <bottom style="thin">
        <color indexed="64"/>
      </bottom>
      <diagonal/>
    </border>
    <border>
      <left style="hair">
        <color theme="0" tint="-0.249977111117893"/>
      </left>
      <right style="hair">
        <color theme="0" tint="-0.249977111117893"/>
      </right>
      <top/>
      <bottom style="thin">
        <color indexed="64"/>
      </bottom>
      <diagonal/>
    </border>
    <border>
      <left style="thin">
        <color indexed="64"/>
      </left>
      <right/>
      <top style="hair">
        <color indexed="23"/>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style="hair">
        <color indexed="23"/>
      </right>
      <top style="hair">
        <color indexed="23"/>
      </top>
      <bottom style="hair">
        <color indexed="23"/>
      </bottom>
      <diagonal/>
    </border>
    <border>
      <left style="medium">
        <color indexed="64"/>
      </left>
      <right style="hair">
        <color indexed="23"/>
      </right>
      <top/>
      <bottom style="hair">
        <color indexed="23"/>
      </bottom>
      <diagonal/>
    </border>
    <border>
      <left style="medium">
        <color indexed="64"/>
      </left>
      <right/>
      <top style="hair">
        <color indexed="23"/>
      </top>
      <bottom style="hair">
        <color indexed="23"/>
      </bottom>
      <diagonal/>
    </border>
    <border>
      <left style="medium">
        <color indexed="64"/>
      </left>
      <right/>
      <top/>
      <bottom style="thin">
        <color indexed="64"/>
      </bottom>
      <diagonal/>
    </border>
    <border>
      <left style="medium">
        <color indexed="64"/>
      </left>
      <right style="hair">
        <color indexed="64"/>
      </right>
      <top style="hair">
        <color indexed="23"/>
      </top>
      <bottom style="hair">
        <color indexed="23"/>
      </bottom>
      <diagonal/>
    </border>
    <border>
      <left style="hair">
        <color indexed="23"/>
      </left>
      <right style="hair">
        <color indexed="23"/>
      </right>
      <top style="hair">
        <color indexed="23"/>
      </top>
      <bottom style="medium">
        <color indexed="64"/>
      </bottom>
      <diagonal/>
    </border>
    <border>
      <left style="hair">
        <color indexed="23"/>
      </left>
      <right style="thin">
        <color indexed="64"/>
      </right>
      <top style="hair">
        <color indexed="23"/>
      </top>
      <bottom style="medium">
        <color indexed="64"/>
      </bottom>
      <diagonal/>
    </border>
    <border>
      <left/>
      <right style="hair">
        <color indexed="23"/>
      </right>
      <top style="hair">
        <color indexed="23"/>
      </top>
      <bottom style="medium">
        <color indexed="64"/>
      </bottom>
      <diagonal/>
    </border>
    <border>
      <left style="hair">
        <color indexed="23"/>
      </left>
      <right style="medium">
        <color indexed="64"/>
      </right>
      <top style="hair">
        <color indexed="23"/>
      </top>
      <bottom style="hair">
        <color indexed="23"/>
      </bottom>
      <diagonal/>
    </border>
    <border>
      <left style="hair">
        <color indexed="23"/>
      </left>
      <right style="medium">
        <color indexed="64"/>
      </right>
      <top style="hair">
        <color indexed="23"/>
      </top>
      <bottom style="thin">
        <color indexed="64"/>
      </bottom>
      <diagonal/>
    </border>
    <border>
      <left/>
      <right style="medium">
        <color indexed="64"/>
      </right>
      <top style="hair">
        <color indexed="23"/>
      </top>
      <bottom/>
      <diagonal/>
    </border>
    <border>
      <left/>
      <right style="medium">
        <color indexed="64"/>
      </right>
      <top style="hair">
        <color indexed="23"/>
      </top>
      <bottom style="hair">
        <color indexed="23"/>
      </bottom>
      <diagonal/>
    </border>
    <border>
      <left/>
      <right style="medium">
        <color indexed="64"/>
      </right>
      <top/>
      <bottom style="thin">
        <color indexed="23"/>
      </bottom>
      <diagonal/>
    </border>
    <border>
      <left/>
      <right style="medium">
        <color indexed="64"/>
      </right>
      <top/>
      <bottom style="hair">
        <color indexed="23"/>
      </bottom>
      <diagonal/>
    </border>
    <border>
      <left style="hair">
        <color indexed="23"/>
      </left>
      <right style="medium">
        <color indexed="64"/>
      </right>
      <top/>
      <bottom/>
      <diagonal/>
    </border>
    <border>
      <left style="hair">
        <color indexed="23"/>
      </left>
      <right style="medium">
        <color indexed="64"/>
      </right>
      <top style="hair">
        <color indexed="23"/>
      </top>
      <bottom/>
      <diagonal/>
    </border>
    <border>
      <left style="hair">
        <color indexed="64"/>
      </left>
      <right style="medium">
        <color indexed="64"/>
      </right>
      <top style="hair">
        <color indexed="23"/>
      </top>
      <bottom style="hair">
        <color indexed="23"/>
      </bottom>
      <diagonal/>
    </border>
    <border>
      <left/>
      <right style="hair">
        <color indexed="64"/>
      </right>
      <top style="hair">
        <color indexed="64"/>
      </top>
      <bottom/>
      <diagonal/>
    </border>
    <border>
      <left style="medium">
        <color indexed="64"/>
      </left>
      <right style="hair">
        <color indexed="64"/>
      </right>
      <top style="hair">
        <color indexed="64"/>
      </top>
      <bottom style="hair">
        <color theme="7" tint="-0.499984740745262"/>
      </bottom>
      <diagonal/>
    </border>
    <border>
      <left style="hair">
        <color indexed="64"/>
      </left>
      <right style="hair">
        <color indexed="64"/>
      </right>
      <top style="hair">
        <color indexed="64"/>
      </top>
      <bottom style="hair">
        <color theme="7" tint="-0.499984740745262"/>
      </bottom>
      <diagonal/>
    </border>
    <border>
      <left style="hair">
        <color theme="7" tint="-0.499984740745262"/>
      </left>
      <right/>
      <top/>
      <bottom style="thin">
        <color indexed="64"/>
      </bottom>
      <diagonal/>
    </border>
    <border>
      <left style="hair">
        <color theme="7" tint="-0.499984740745262"/>
      </left>
      <right/>
      <top/>
      <bottom/>
      <diagonal/>
    </border>
    <border>
      <left style="hair">
        <color theme="7" tint="-0.499984740745262"/>
      </left>
      <right style="hair">
        <color indexed="64"/>
      </right>
      <top/>
      <bottom style="thin">
        <color indexed="64"/>
      </bottom>
      <diagonal/>
    </border>
    <border>
      <left style="hair">
        <color theme="7" tint="-0.499984740745262"/>
      </left>
      <right style="hair">
        <color indexed="64"/>
      </right>
      <top/>
      <bottom/>
      <diagonal/>
    </border>
    <border>
      <left style="hair">
        <color theme="3" tint="0.79998168889431442"/>
      </left>
      <right style="hair">
        <color theme="3" tint="0.79998168889431442"/>
      </right>
      <top style="hair">
        <color theme="3" tint="0.79998168889431442"/>
      </top>
      <bottom/>
      <diagonal/>
    </border>
    <border>
      <left/>
      <right style="hair">
        <color indexed="64"/>
      </right>
      <top style="medium">
        <color indexed="64"/>
      </top>
      <bottom style="thin">
        <color indexed="64"/>
      </bottom>
      <diagonal/>
    </border>
    <border>
      <left style="medium">
        <color indexed="64"/>
      </left>
      <right style="hair">
        <color indexed="23"/>
      </right>
      <top/>
      <bottom style="medium">
        <color indexed="64"/>
      </bottom>
      <diagonal/>
    </border>
    <border>
      <left style="hair">
        <color indexed="23"/>
      </left>
      <right style="hair">
        <color indexed="23"/>
      </right>
      <top/>
      <bottom style="medium">
        <color indexed="64"/>
      </bottom>
      <diagonal/>
    </border>
    <border>
      <left style="medium">
        <color indexed="64"/>
      </left>
      <right style="dotted">
        <color rgb="FFBFBFBF"/>
      </right>
      <top style="thin">
        <color indexed="64"/>
      </top>
      <bottom style="dotted">
        <color rgb="FFBFBFBF"/>
      </bottom>
      <diagonal/>
    </border>
    <border>
      <left style="medium">
        <color indexed="64"/>
      </left>
      <right style="dotted">
        <color rgb="FFBFBFBF"/>
      </right>
      <top/>
      <bottom style="dotted">
        <color rgb="FFBFBFBF"/>
      </bottom>
      <diagonal/>
    </border>
    <border>
      <left style="medium">
        <color indexed="64"/>
      </left>
      <right style="dotted">
        <color rgb="FFBFBFBF"/>
      </right>
      <top style="dotted">
        <color rgb="FFBFBFBF"/>
      </top>
      <bottom style="dotted">
        <color rgb="FFBFBFBF"/>
      </bottom>
      <diagonal/>
    </border>
    <border>
      <left style="thin">
        <color indexed="64"/>
      </left>
      <right style="medium">
        <color indexed="64"/>
      </right>
      <top style="thin">
        <color indexed="23"/>
      </top>
      <bottom/>
      <diagonal/>
    </border>
    <border>
      <left style="thin">
        <color indexed="64"/>
      </left>
      <right style="medium">
        <color indexed="64"/>
      </right>
      <top style="hair">
        <color indexed="23"/>
      </top>
      <bottom style="hair">
        <color indexed="23"/>
      </bottom>
      <diagonal/>
    </border>
    <border>
      <left style="thin">
        <color indexed="64"/>
      </left>
      <right style="medium">
        <color indexed="64"/>
      </right>
      <top style="thin">
        <color indexed="64"/>
      </top>
      <bottom style="thin">
        <color indexed="23"/>
      </bottom>
      <diagonal/>
    </border>
    <border>
      <left/>
      <right style="thin">
        <color indexed="64"/>
      </right>
      <top style="thin">
        <color indexed="23"/>
      </top>
      <bottom/>
      <diagonal/>
    </border>
    <border>
      <left style="hair">
        <color indexed="23"/>
      </left>
      <right style="thin">
        <color indexed="64"/>
      </right>
      <top/>
      <bottom style="hair">
        <color indexed="23"/>
      </bottom>
      <diagonal/>
    </border>
    <border>
      <left style="hair">
        <color indexed="23"/>
      </left>
      <right style="thin">
        <color indexed="64"/>
      </right>
      <top style="thin">
        <color indexed="64"/>
      </top>
      <bottom style="hair">
        <color indexed="23"/>
      </bottom>
      <diagonal/>
    </border>
    <border>
      <left style="hair">
        <color indexed="23"/>
      </left>
      <right/>
      <top style="hair">
        <color indexed="23"/>
      </top>
      <bottom style="thin">
        <color indexed="64"/>
      </bottom>
      <diagonal/>
    </border>
    <border>
      <left style="hair">
        <color indexed="23"/>
      </left>
      <right/>
      <top style="hair">
        <color indexed="23"/>
      </top>
      <bottom style="medium">
        <color indexed="64"/>
      </bottom>
      <diagonal/>
    </border>
    <border>
      <left style="medium">
        <color rgb="FFFF0000"/>
      </left>
      <right/>
      <top/>
      <bottom/>
      <diagonal/>
    </border>
    <border>
      <left/>
      <right style="medium">
        <color rgb="FFFF0000"/>
      </right>
      <top/>
      <bottom/>
      <diagonal/>
    </border>
    <border>
      <left style="medium">
        <color rgb="FFFF0000"/>
      </left>
      <right style="hair">
        <color indexed="23"/>
      </right>
      <top style="hair">
        <color indexed="23"/>
      </top>
      <bottom style="hair">
        <color indexed="23"/>
      </bottom>
      <diagonal/>
    </border>
    <border>
      <left/>
      <right style="medium">
        <color rgb="FFFF0000"/>
      </right>
      <top style="hair">
        <color indexed="23"/>
      </top>
      <bottom style="hair">
        <color indexed="23"/>
      </bottom>
      <diagonal/>
    </border>
    <border>
      <left style="medium">
        <color rgb="FFFF0000"/>
      </left>
      <right style="hair">
        <color indexed="23"/>
      </right>
      <top style="hair">
        <color indexed="23"/>
      </top>
      <bottom style="thin">
        <color indexed="64"/>
      </bottom>
      <diagonal/>
    </border>
    <border>
      <left/>
      <right style="medium">
        <color rgb="FFFF0000"/>
      </right>
      <top style="hair">
        <color indexed="23"/>
      </top>
      <bottom style="thin">
        <color indexed="64"/>
      </bottom>
      <diagonal/>
    </border>
    <border>
      <left style="medium">
        <color rgb="FFFF0000"/>
      </left>
      <right/>
      <top/>
      <bottom style="thin">
        <color indexed="23"/>
      </bottom>
      <diagonal/>
    </border>
    <border>
      <left/>
      <right style="medium">
        <color rgb="FFFF0000"/>
      </right>
      <top/>
      <bottom style="thin">
        <color indexed="23"/>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style="hair">
        <color indexed="23"/>
      </right>
      <top style="thin">
        <color indexed="64"/>
      </top>
      <bottom style="hair">
        <color indexed="23"/>
      </bottom>
      <diagonal/>
    </border>
    <border>
      <left/>
      <right style="medium">
        <color rgb="FFFF0000"/>
      </right>
      <top style="thin">
        <color indexed="64"/>
      </top>
      <bottom style="hair">
        <color indexed="23"/>
      </bottom>
      <diagonal/>
    </border>
    <border>
      <left style="medium">
        <color rgb="FFFF0000"/>
      </left>
      <right style="hair">
        <color indexed="23"/>
      </right>
      <top/>
      <bottom style="hair">
        <color indexed="23"/>
      </bottom>
      <diagonal/>
    </border>
    <border>
      <left/>
      <right style="medium">
        <color rgb="FFFF0000"/>
      </right>
      <top style="hair">
        <color indexed="23"/>
      </top>
      <bottom/>
      <diagonal/>
    </border>
    <border>
      <left/>
      <right style="medium">
        <color rgb="FFFF0000"/>
      </right>
      <top style="hair">
        <color indexed="64"/>
      </top>
      <bottom style="hair">
        <color indexed="23"/>
      </bottom>
      <diagonal/>
    </border>
    <border>
      <left style="medium">
        <color rgb="FFFF0000"/>
      </left>
      <right style="hair">
        <color indexed="23"/>
      </right>
      <top/>
      <bottom/>
      <diagonal/>
    </border>
    <border>
      <left style="medium">
        <color rgb="FFFF0000"/>
      </left>
      <right style="hair">
        <color indexed="23"/>
      </right>
      <top style="hair">
        <color indexed="23"/>
      </top>
      <bottom/>
      <diagonal/>
    </border>
    <border>
      <left/>
      <right style="medium">
        <color rgb="FFFF0000"/>
      </right>
      <top/>
      <bottom style="hair">
        <color indexed="23"/>
      </bottom>
      <diagonal/>
    </border>
    <border>
      <left/>
      <right style="medium">
        <color rgb="FFFF0000"/>
      </right>
      <top style="hair">
        <color indexed="23"/>
      </top>
      <bottom style="hair">
        <color indexed="64"/>
      </bottom>
      <diagonal/>
    </border>
    <border>
      <left style="medium">
        <color rgb="FFFF0000"/>
      </left>
      <right style="hair">
        <color indexed="64"/>
      </right>
      <top style="hair">
        <color indexed="23"/>
      </top>
      <bottom style="hair">
        <color indexed="23"/>
      </bottom>
      <diagonal/>
    </border>
    <border>
      <left style="medium">
        <color rgb="FFFF0000"/>
      </left>
      <right/>
      <top style="hair">
        <color indexed="23"/>
      </top>
      <bottom style="hair">
        <color indexed="23"/>
      </bottom>
      <diagonal/>
    </border>
    <border>
      <left style="medium">
        <color rgb="FFFF0000"/>
      </left>
      <right style="hair">
        <color indexed="23"/>
      </right>
      <top style="hair">
        <color indexed="23"/>
      </top>
      <bottom style="medium">
        <color rgb="FFFF0000"/>
      </bottom>
      <diagonal/>
    </border>
    <border>
      <left style="medium">
        <color rgb="FFFF0000"/>
      </left>
      <right/>
      <top style="medium">
        <color rgb="FFFF0000"/>
      </top>
      <bottom/>
      <diagonal/>
    </border>
    <border>
      <left/>
      <right style="medium">
        <color indexed="64"/>
      </right>
      <top style="medium">
        <color rgb="FFFF0000"/>
      </top>
      <bottom/>
      <diagonal/>
    </border>
    <border>
      <left/>
      <right style="medium">
        <color rgb="FFFF0000"/>
      </right>
      <top style="medium">
        <color rgb="FFFF0000"/>
      </top>
      <bottom/>
      <diagonal/>
    </border>
    <border>
      <left style="hair">
        <color indexed="23"/>
      </left>
      <right style="medium">
        <color indexed="64"/>
      </right>
      <top style="hair">
        <color indexed="23"/>
      </top>
      <bottom style="medium">
        <color rgb="FFFF0000"/>
      </bottom>
      <diagonal/>
    </border>
    <border>
      <left/>
      <right style="medium">
        <color rgb="FFFF0000"/>
      </right>
      <top style="hair">
        <color indexed="23"/>
      </top>
      <bottom style="medium">
        <color rgb="FFFF0000"/>
      </bottom>
      <diagonal/>
    </border>
    <border>
      <left/>
      <right style="hair">
        <color indexed="23"/>
      </right>
      <top style="medium">
        <color rgb="FFFF0000"/>
      </top>
      <bottom style="hair">
        <color indexed="23"/>
      </bottom>
      <diagonal/>
    </border>
    <border>
      <left style="medium">
        <color indexed="64"/>
      </left>
      <right style="medium">
        <color rgb="FFFF0000"/>
      </right>
      <top/>
      <bottom style="thin">
        <color indexed="23"/>
      </bottom>
      <diagonal/>
    </border>
    <border>
      <left style="hair">
        <color theme="0" tint="-0.249977111117893"/>
      </left>
      <right/>
      <top style="thin">
        <color indexed="64"/>
      </top>
      <bottom/>
      <diagonal/>
    </border>
    <border>
      <left style="hair">
        <color theme="0" tint="-0.249977111117893"/>
      </left>
      <right/>
      <top/>
      <bottom/>
      <diagonal/>
    </border>
    <border>
      <left style="hair">
        <color theme="0" tint="-0.249977111117893"/>
      </left>
      <right/>
      <top/>
      <bottom style="thin">
        <color indexed="64"/>
      </bottom>
      <diagonal/>
    </border>
    <border>
      <left style="thin">
        <color indexed="64"/>
      </left>
      <right style="hair">
        <color theme="3" tint="0.79998168889431442"/>
      </right>
      <top style="thin">
        <color indexed="64"/>
      </top>
      <bottom style="thin">
        <color indexed="64"/>
      </bottom>
      <diagonal/>
    </border>
    <border>
      <left style="hair">
        <color theme="3" tint="0.79998168889431442"/>
      </left>
      <right style="hair">
        <color theme="3" tint="0.79998168889431442"/>
      </right>
      <top style="thin">
        <color indexed="64"/>
      </top>
      <bottom style="thin">
        <color indexed="64"/>
      </bottom>
      <diagonal/>
    </border>
    <border>
      <left style="hair">
        <color theme="3" tint="0.79998168889431442"/>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theme="0" tint="-0.249977111117893"/>
      </left>
      <right style="hair">
        <color theme="3" tint="0.79998168889431442"/>
      </right>
      <top style="thin">
        <color indexed="64"/>
      </top>
      <bottom style="thin">
        <color indexed="64"/>
      </bottom>
      <diagonal/>
    </border>
  </borders>
  <cellStyleXfs count="66">
    <xf numFmtId="0" fontId="0" fillId="0" borderId="0"/>
    <xf numFmtId="0" fontId="24"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4" fillId="7" borderId="0" applyNumberFormat="0" applyBorder="0" applyAlignment="0" applyProtection="0"/>
    <xf numFmtId="0" fontId="24" fillId="2" borderId="0" applyNumberFormat="0" applyBorder="0" applyAlignment="0" applyProtection="0"/>
    <xf numFmtId="0" fontId="25" fillId="3" borderId="0" applyNumberFormat="0" applyBorder="0" applyAlignment="0" applyProtection="0"/>
    <xf numFmtId="0" fontId="25" fillId="7" borderId="0" applyNumberFormat="0" applyBorder="0" applyAlignment="0" applyProtection="0"/>
    <xf numFmtId="0" fontId="24" fillId="7" borderId="0" applyNumberFormat="0" applyBorder="0" applyAlignment="0" applyProtection="0"/>
    <xf numFmtId="0" fontId="24" fillId="10" borderId="0" applyNumberFormat="0" applyBorder="0" applyAlignment="0" applyProtection="0"/>
    <xf numFmtId="0" fontId="25" fillId="11" borderId="0" applyNumberFormat="0" applyBorder="0" applyAlignment="0" applyProtection="0"/>
    <xf numFmtId="0" fontId="25" fillId="3" borderId="0" applyNumberFormat="0" applyBorder="0" applyAlignment="0" applyProtection="0"/>
    <xf numFmtId="0" fontId="24" fillId="4" borderId="0" applyNumberFormat="0" applyBorder="0" applyAlignment="0" applyProtection="0"/>
    <xf numFmtId="0" fontId="24" fillId="12" borderId="0" applyNumberFormat="0" applyBorder="0" applyAlignment="0" applyProtection="0"/>
    <xf numFmtId="0" fontId="25" fillId="6" borderId="0" applyNumberFormat="0" applyBorder="0" applyAlignment="0" applyProtection="0"/>
    <xf numFmtId="0" fontId="25" fillId="13" borderId="0" applyNumberFormat="0" applyBorder="0" applyAlignment="0" applyProtection="0"/>
    <xf numFmtId="0" fontId="24" fillId="13" borderId="0" applyNumberFormat="0" applyBorder="0" applyAlignment="0" applyProtection="0"/>
    <xf numFmtId="0" fontId="15" fillId="14" borderId="0" applyNumberFormat="0" applyBorder="0" applyAlignment="0" applyProtection="0"/>
    <xf numFmtId="0" fontId="20" fillId="15" borderId="1" applyNumberFormat="0" applyAlignment="0" applyProtection="0"/>
    <xf numFmtId="0" fontId="22" fillId="8" borderId="2" applyNumberFormat="0" applyAlignment="0" applyProtection="0"/>
    <xf numFmtId="43" fontId="7" fillId="0" borderId="0" applyFont="0" applyFill="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4" fillId="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51" fillId="0" borderId="0" applyNumberFormat="0" applyFill="0" applyBorder="0" applyAlignment="0" applyProtection="0">
      <alignment vertical="top"/>
      <protection locked="0"/>
    </xf>
    <xf numFmtId="0" fontId="18" fillId="13" borderId="1" applyNumberFormat="0" applyAlignment="0" applyProtection="0"/>
    <xf numFmtId="0" fontId="21" fillId="0" borderId="6" applyNumberFormat="0" applyFill="0" applyAlignment="0" applyProtection="0"/>
    <xf numFmtId="0" fontId="16" fillId="19" borderId="0" applyNumberFormat="0" applyBorder="0" applyAlignment="0" applyProtection="0"/>
    <xf numFmtId="0" fontId="9" fillId="6" borderId="7" applyNumberFormat="0" applyFont="0" applyAlignment="0" applyProtection="0"/>
    <xf numFmtId="0" fontId="19" fillId="15" borderId="8" applyNumberFormat="0" applyAlignment="0" applyProtection="0"/>
    <xf numFmtId="0" fontId="10" fillId="0" borderId="0" applyNumberFormat="0" applyFill="0" applyBorder="0" applyAlignment="0" applyProtection="0"/>
    <xf numFmtId="0" fontId="17" fillId="0" borderId="9" applyNumberFormat="0" applyFill="0" applyAlignment="0" applyProtection="0"/>
    <xf numFmtId="0" fontId="23" fillId="0" borderId="0" applyNumberFormat="0" applyFill="0" applyBorder="0" applyAlignment="0" applyProtection="0"/>
    <xf numFmtId="0" fontId="7" fillId="0" borderId="0"/>
    <xf numFmtId="43" fontId="44" fillId="0" borderId="0" applyFont="0" applyFill="0" applyBorder="0" applyAlignment="0" applyProtection="0"/>
    <xf numFmtId="0" fontId="6" fillId="0" borderId="0"/>
    <xf numFmtId="0" fontId="51"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5" fillId="0" borderId="0"/>
    <xf numFmtId="0" fontId="7" fillId="0" borderId="0"/>
    <xf numFmtId="0" fontId="67" fillId="0" borderId="0"/>
    <xf numFmtId="43" fontId="7" fillId="0" borderId="0" applyFont="0" applyFill="0" applyBorder="0" applyAlignment="0" applyProtection="0"/>
    <xf numFmtId="0" fontId="4" fillId="0" borderId="0"/>
    <xf numFmtId="43" fontId="7" fillId="0" borderId="0" applyFont="0" applyFill="0" applyBorder="0" applyAlignment="0" applyProtection="0"/>
    <xf numFmtId="43" fontId="3" fillId="0" borderId="0" applyFont="0" applyFill="0" applyBorder="0" applyAlignment="0" applyProtection="0"/>
    <xf numFmtId="43" fontId="67" fillId="0" borderId="0" applyFont="0" applyFill="0" applyBorder="0" applyAlignment="0" applyProtection="0"/>
    <xf numFmtId="0" fontId="2" fillId="30" borderId="0" applyNumberFormat="0" applyBorder="0" applyAlignment="0" applyProtection="0"/>
    <xf numFmtId="43" fontId="2" fillId="0" borderId="0" applyFont="0" applyFill="0" applyBorder="0" applyAlignment="0" applyProtection="0"/>
    <xf numFmtId="9" fontId="7" fillId="0" borderId="0" applyFont="0" applyFill="0" applyBorder="0" applyAlignment="0" applyProtection="0"/>
    <xf numFmtId="9" fontId="88" fillId="0" borderId="0" applyFont="0" applyFill="0" applyBorder="0" applyAlignment="0" applyProtection="0"/>
    <xf numFmtId="0" fontId="1" fillId="0" borderId="0"/>
    <xf numFmtId="9" fontId="1" fillId="0" borderId="0" applyFont="0" applyFill="0" applyBorder="0" applyAlignment="0" applyProtection="0"/>
  </cellStyleXfs>
  <cellXfs count="990">
    <xf numFmtId="0" fontId="0" fillId="0" borderId="0" xfId="0"/>
    <xf numFmtId="43" fontId="7" fillId="0" borderId="0" xfId="28" applyFont="1"/>
    <xf numFmtId="0" fontId="7" fillId="0" borderId="0" xfId="0" applyFont="1"/>
    <xf numFmtId="15" fontId="7" fillId="0" borderId="0" xfId="0" applyNumberFormat="1" applyFont="1"/>
    <xf numFmtId="0" fontId="26" fillId="0" borderId="0" xfId="0" applyFont="1"/>
    <xf numFmtId="43" fontId="26" fillId="0" borderId="0" xfId="28" applyFont="1"/>
    <xf numFmtId="165" fontId="26" fillId="0" borderId="0" xfId="0" applyNumberFormat="1" applyFont="1"/>
    <xf numFmtId="15" fontId="27" fillId="0" borderId="0" xfId="0" applyNumberFormat="1" applyFont="1"/>
    <xf numFmtId="43" fontId="7" fillId="0" borderId="0" xfId="28" applyFont="1" applyBorder="1"/>
    <xf numFmtId="0" fontId="26" fillId="0" borderId="0" xfId="0" applyFont="1" applyAlignment="1">
      <alignment horizontal="left" vertical="center"/>
    </xf>
    <xf numFmtId="0" fontId="26" fillId="20" borderId="0" xfId="0" applyFont="1" applyFill="1" applyAlignment="1">
      <alignment horizontal="left" vertical="center"/>
    </xf>
    <xf numFmtId="43" fontId="26" fillId="0" borderId="0" xfId="28" applyFont="1" applyFill="1" applyAlignment="1">
      <alignment horizontal="left" vertical="center"/>
    </xf>
    <xf numFmtId="43" fontId="26" fillId="0" borderId="0" xfId="28" applyFont="1" applyAlignment="1">
      <alignment horizontal="left" vertical="center"/>
    </xf>
    <xf numFmtId="15" fontId="26" fillId="0" borderId="10" xfId="0" applyNumberFormat="1" applyFont="1" applyBorder="1" applyAlignment="1">
      <alignment horizontal="left" vertical="center"/>
    </xf>
    <xf numFmtId="43" fontId="26" fillId="0" borderId="11" xfId="28" applyFont="1" applyBorder="1" applyAlignment="1">
      <alignment horizontal="left" vertical="center"/>
    </xf>
    <xf numFmtId="43" fontId="29" fillId="0" borderId="0" xfId="28" applyFont="1" applyBorder="1" applyAlignment="1">
      <alignment horizontal="left" vertical="center"/>
    </xf>
    <xf numFmtId="15" fontId="9" fillId="0" borderId="13" xfId="0" applyNumberFormat="1" applyFont="1" applyBorder="1" applyAlignment="1">
      <alignment horizontal="left" vertical="center"/>
    </xf>
    <xf numFmtId="43" fontId="26" fillId="0" borderId="11" xfId="28" applyFont="1" applyBorder="1"/>
    <xf numFmtId="0" fontId="29" fillId="0" borderId="0" xfId="28" applyNumberFormat="1" applyFont="1" applyBorder="1" applyAlignment="1">
      <alignment horizontal="left" vertical="center"/>
    </xf>
    <xf numFmtId="15" fontId="29" fillId="0" borderId="0" xfId="0" applyNumberFormat="1" applyFont="1" applyAlignment="1">
      <alignment horizontal="left" vertical="center"/>
    </xf>
    <xf numFmtId="4" fontId="29" fillId="0" borderId="0" xfId="0" applyNumberFormat="1" applyFont="1" applyAlignment="1">
      <alignment horizontal="left" vertical="center"/>
    </xf>
    <xf numFmtId="0" fontId="7" fillId="0" borderId="0" xfId="0" applyFont="1" applyAlignment="1">
      <alignment horizontal="left" vertical="center"/>
    </xf>
    <xf numFmtId="43" fontId="31" fillId="0" borderId="0" xfId="28" applyFont="1" applyAlignment="1">
      <alignment vertical="center"/>
    </xf>
    <xf numFmtId="43" fontId="32" fillId="0" borderId="0" xfId="28" applyFont="1" applyBorder="1" applyAlignment="1">
      <alignment horizontal="center" vertical="center" wrapText="1"/>
    </xf>
    <xf numFmtId="43" fontId="31" fillId="0" borderId="15" xfId="28" applyFont="1" applyBorder="1" applyAlignment="1" applyProtection="1">
      <alignment horizontal="left" vertical="center"/>
      <protection locked="0"/>
    </xf>
    <xf numFmtId="43" fontId="31" fillId="0" borderId="15" xfId="28" applyFont="1" applyFill="1" applyBorder="1" applyAlignment="1" applyProtection="1">
      <alignment horizontal="left" vertical="center"/>
      <protection locked="0"/>
    </xf>
    <xf numFmtId="0" fontId="31" fillId="0" borderId="0" xfId="0" applyFont="1"/>
    <xf numFmtId="43" fontId="38" fillId="0" borderId="0" xfId="28" applyFont="1" applyAlignment="1">
      <alignment vertical="center"/>
    </xf>
    <xf numFmtId="15" fontId="31" fillId="0" borderId="13" xfId="0" applyNumberFormat="1" applyFont="1" applyBorder="1" applyAlignment="1" applyProtection="1">
      <alignment horizontal="left" vertical="center"/>
      <protection locked="0"/>
    </xf>
    <xf numFmtId="49" fontId="31" fillId="0" borderId="15" xfId="28" applyNumberFormat="1" applyFont="1" applyBorder="1" applyAlignment="1" applyProtection="1">
      <alignment horizontal="left" vertical="center"/>
      <protection locked="0"/>
    </xf>
    <xf numFmtId="166" fontId="31" fillId="0" borderId="15" xfId="28" applyNumberFormat="1" applyFont="1" applyBorder="1" applyAlignment="1" applyProtection="1">
      <alignment horizontal="left" vertical="center"/>
      <protection locked="0"/>
    </xf>
    <xf numFmtId="43" fontId="31" fillId="0" borderId="24" xfId="28" applyFont="1" applyBorder="1" applyAlignment="1" applyProtection="1">
      <alignment horizontal="left" vertical="center"/>
      <protection hidden="1"/>
    </xf>
    <xf numFmtId="0" fontId="31" fillId="0" borderId="0" xfId="0" applyFont="1" applyAlignment="1">
      <alignment horizontal="left" vertical="center"/>
    </xf>
    <xf numFmtId="49" fontId="31" fillId="0" borderId="15" xfId="0" applyNumberFormat="1" applyFont="1" applyBorder="1" applyAlignment="1" applyProtection="1">
      <alignment horizontal="left" vertical="center"/>
      <protection locked="0"/>
    </xf>
    <xf numFmtId="166" fontId="31" fillId="0" borderId="15" xfId="28" applyNumberFormat="1" applyFont="1" applyFill="1" applyBorder="1" applyAlignment="1" applyProtection="1">
      <alignment horizontal="left" vertical="center"/>
      <protection locked="0"/>
    </xf>
    <xf numFmtId="43" fontId="31" fillId="0" borderId="23" xfId="28" applyFont="1" applyFill="1" applyBorder="1" applyAlignment="1" applyProtection="1">
      <alignment horizontal="left" vertical="center"/>
      <protection locked="0"/>
    </xf>
    <xf numFmtId="43" fontId="31" fillId="0" borderId="16" xfId="28" applyFont="1" applyFill="1" applyBorder="1" applyAlignment="1">
      <alignment vertical="center"/>
    </xf>
    <xf numFmtId="43" fontId="31" fillId="0" borderId="0" xfId="28" applyFont="1" applyFill="1" applyAlignment="1">
      <alignment vertical="center"/>
    </xf>
    <xf numFmtId="43" fontId="31" fillId="0" borderId="0" xfId="28" applyFont="1" applyFill="1" applyBorder="1" applyAlignment="1" applyProtection="1">
      <alignment vertical="center"/>
      <protection hidden="1"/>
    </xf>
    <xf numFmtId="43" fontId="38" fillId="0" borderId="0" xfId="28" applyFont="1" applyFill="1" applyAlignment="1">
      <alignment vertical="center"/>
    </xf>
    <xf numFmtId="43" fontId="31" fillId="0" borderId="26" xfId="28" applyFont="1" applyFill="1" applyBorder="1" applyAlignment="1" applyProtection="1">
      <alignment vertical="center"/>
      <protection hidden="1"/>
    </xf>
    <xf numFmtId="43" fontId="31" fillId="0" borderId="0" xfId="28" applyFont="1" applyFill="1" applyBorder="1" applyAlignment="1">
      <alignment vertical="center"/>
    </xf>
    <xf numFmtId="43" fontId="31" fillId="0" borderId="32" xfId="28" applyFont="1" applyFill="1" applyBorder="1" applyAlignment="1" applyProtection="1">
      <alignment vertical="center"/>
      <protection hidden="1"/>
    </xf>
    <xf numFmtId="43" fontId="31" fillId="0" borderId="33" xfId="28" applyFont="1" applyFill="1" applyBorder="1" applyAlignment="1" applyProtection="1">
      <alignment vertical="center"/>
      <protection hidden="1"/>
    </xf>
    <xf numFmtId="43" fontId="31" fillId="0" borderId="26" xfId="28" applyFont="1" applyFill="1" applyBorder="1" applyAlignment="1">
      <alignment vertical="center"/>
    </xf>
    <xf numFmtId="43" fontId="32" fillId="0" borderId="37" xfId="28" applyFont="1" applyBorder="1" applyAlignment="1">
      <alignment horizontal="center" vertical="center" wrapText="1"/>
    </xf>
    <xf numFmtId="43" fontId="32" fillId="21" borderId="38" xfId="28" quotePrefix="1" applyFont="1" applyFill="1" applyBorder="1" applyAlignment="1">
      <alignment horizontal="center" vertical="center" wrapText="1"/>
    </xf>
    <xf numFmtId="43" fontId="32" fillId="0" borderId="36" xfId="28" applyFont="1" applyBorder="1" applyAlignment="1">
      <alignment horizontal="center" vertical="center" wrapText="1"/>
    </xf>
    <xf numFmtId="43" fontId="31" fillId="0" borderId="35" xfId="28" applyFont="1" applyBorder="1" applyAlignment="1">
      <alignment vertical="center"/>
    </xf>
    <xf numFmtId="43" fontId="38" fillId="0" borderId="0" xfId="28" applyFont="1" applyFill="1" applyBorder="1" applyAlignment="1">
      <alignment vertical="center"/>
    </xf>
    <xf numFmtId="43" fontId="31" fillId="0" borderId="32" xfId="28" applyFont="1" applyFill="1" applyBorder="1" applyAlignment="1">
      <alignment vertical="center"/>
    </xf>
    <xf numFmtId="43" fontId="32" fillId="0" borderId="41" xfId="28" applyFont="1" applyBorder="1" applyAlignment="1">
      <alignment horizontal="center" vertical="center"/>
    </xf>
    <xf numFmtId="43" fontId="32" fillId="21" borderId="0" xfId="28" quotePrefix="1" applyFont="1" applyFill="1" applyBorder="1" applyAlignment="1">
      <alignment horizontal="center" vertical="center" wrapText="1"/>
    </xf>
    <xf numFmtId="43" fontId="32" fillId="0" borderId="42" xfId="28" applyFont="1" applyBorder="1" applyAlignment="1">
      <alignment horizontal="center" vertical="center"/>
    </xf>
    <xf numFmtId="0" fontId="31" fillId="0" borderId="43"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45"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46" xfId="0" applyFont="1" applyBorder="1" applyAlignment="1" applyProtection="1">
      <alignment horizontal="center" vertical="center" wrapText="1"/>
      <protection hidden="1"/>
    </xf>
    <xf numFmtId="4" fontId="33" fillId="0" borderId="45" xfId="0" applyNumberFormat="1" applyFont="1" applyBorder="1" applyAlignment="1">
      <alignment horizontal="center" vertical="center" wrapText="1"/>
    </xf>
    <xf numFmtId="0" fontId="31" fillId="0" borderId="0" xfId="0" applyFont="1" applyAlignment="1">
      <alignment wrapText="1"/>
    </xf>
    <xf numFmtId="43" fontId="31" fillId="0" borderId="23" xfId="28" applyFont="1" applyFill="1" applyBorder="1" applyAlignment="1">
      <alignment vertical="center"/>
    </xf>
    <xf numFmtId="43" fontId="31" fillId="20" borderId="33" xfId="28" applyFont="1" applyFill="1" applyBorder="1" applyAlignment="1" applyProtection="1">
      <alignment vertical="center"/>
      <protection hidden="1"/>
    </xf>
    <xf numFmtId="43" fontId="31" fillId="20" borderId="49" xfId="28" applyFont="1" applyFill="1" applyBorder="1" applyAlignment="1" applyProtection="1">
      <alignment vertical="center"/>
      <protection hidden="1"/>
    </xf>
    <xf numFmtId="164" fontId="31" fillId="0" borderId="26" xfId="28" applyNumberFormat="1" applyFont="1" applyFill="1" applyBorder="1" applyAlignment="1" applyProtection="1">
      <alignment vertical="center"/>
      <protection hidden="1"/>
    </xf>
    <xf numFmtId="43" fontId="31" fillId="20" borderId="29" xfId="28" applyFont="1" applyFill="1" applyBorder="1" applyAlignment="1" applyProtection="1">
      <alignment vertical="center"/>
      <protection hidden="1"/>
    </xf>
    <xf numFmtId="0" fontId="31" fillId="0" borderId="0" xfId="0" applyFont="1" applyAlignment="1" applyProtection="1">
      <alignment horizontal="right" vertical="center"/>
      <protection hidden="1"/>
    </xf>
    <xf numFmtId="2" fontId="31" fillId="0" borderId="18" xfId="28" applyNumberFormat="1" applyFont="1" applyFill="1" applyBorder="1" applyAlignment="1" applyProtection="1">
      <alignment vertical="center"/>
      <protection locked="0" hidden="1"/>
    </xf>
    <xf numFmtId="0" fontId="43" fillId="0" borderId="0" xfId="0" applyFont="1"/>
    <xf numFmtId="43" fontId="43" fillId="0" borderId="0" xfId="28" applyFont="1"/>
    <xf numFmtId="0" fontId="42" fillId="0" borderId="0" xfId="0" applyFont="1" applyAlignment="1">
      <alignment horizontal="right"/>
    </xf>
    <xf numFmtId="168" fontId="43" fillId="0" borderId="0" xfId="0" applyNumberFormat="1" applyFont="1" applyAlignment="1" applyProtection="1">
      <alignment horizontal="center"/>
      <protection locked="0"/>
    </xf>
    <xf numFmtId="0" fontId="42" fillId="0" borderId="0" xfId="0" applyFont="1" applyAlignment="1">
      <alignment horizontal="left"/>
    </xf>
    <xf numFmtId="0" fontId="43" fillId="0" borderId="0" xfId="0" applyFont="1" applyAlignment="1">
      <alignment horizontal="center"/>
    </xf>
    <xf numFmtId="0" fontId="43" fillId="0" borderId="0" xfId="0" applyFont="1" applyAlignment="1" applyProtection="1">
      <alignment horizontal="center"/>
      <protection hidden="1"/>
    </xf>
    <xf numFmtId="0" fontId="43" fillId="0" borderId="0" xfId="0" applyFont="1" applyAlignment="1">
      <alignment horizontal="right"/>
    </xf>
    <xf numFmtId="0" fontId="43" fillId="0" borderId="0" xfId="0" applyFont="1" applyProtection="1">
      <protection hidden="1"/>
    </xf>
    <xf numFmtId="43" fontId="43" fillId="0" borderId="0" xfId="28" applyFont="1" applyProtection="1">
      <protection hidden="1"/>
    </xf>
    <xf numFmtId="15" fontId="43" fillId="0" borderId="0" xfId="0" applyNumberFormat="1" applyFont="1"/>
    <xf numFmtId="0" fontId="42" fillId="0" borderId="0" xfId="0" applyFont="1"/>
    <xf numFmtId="0" fontId="43" fillId="0" borderId="0" xfId="0" applyFont="1" applyProtection="1">
      <protection locked="0"/>
    </xf>
    <xf numFmtId="43" fontId="43" fillId="0" borderId="0" xfId="0" applyNumberFormat="1" applyFont="1" applyProtection="1">
      <protection hidden="1"/>
    </xf>
    <xf numFmtId="164" fontId="43" fillId="0" borderId="0" xfId="28" applyNumberFormat="1" applyFont="1" applyProtection="1">
      <protection hidden="1"/>
    </xf>
    <xf numFmtId="165" fontId="43" fillId="0" borderId="0" xfId="28" applyNumberFormat="1" applyFont="1" applyProtection="1">
      <protection hidden="1"/>
    </xf>
    <xf numFmtId="43" fontId="43" fillId="0" borderId="0" xfId="0" applyNumberFormat="1" applyFont="1"/>
    <xf numFmtId="167" fontId="43" fillId="0" borderId="0" xfId="0" applyNumberFormat="1" applyFont="1"/>
    <xf numFmtId="43" fontId="42" fillId="0" borderId="0" xfId="28" applyFont="1" applyAlignment="1" applyProtection="1">
      <alignment horizontal="left" indent="1"/>
      <protection hidden="1"/>
    </xf>
    <xf numFmtId="0" fontId="42" fillId="0" borderId="0" xfId="0" applyFont="1" applyAlignment="1" applyProtection="1">
      <alignment horizontal="left" indent="1"/>
      <protection hidden="1"/>
    </xf>
    <xf numFmtId="165" fontId="31" fillId="0" borderId="0" xfId="28" applyNumberFormat="1" applyFont="1" applyFill="1" applyBorder="1" applyAlignment="1">
      <alignment horizontal="right" vertical="center" wrapText="1" indent="2"/>
    </xf>
    <xf numFmtId="165" fontId="31" fillId="0" borderId="26" xfId="28" applyNumberFormat="1" applyFont="1" applyFill="1" applyBorder="1" applyAlignment="1" applyProtection="1">
      <alignment vertical="center"/>
      <protection hidden="1"/>
    </xf>
    <xf numFmtId="43" fontId="31" fillId="22" borderId="33" xfId="28" applyFont="1" applyFill="1" applyBorder="1" applyAlignment="1">
      <alignment vertical="center" wrapText="1"/>
    </xf>
    <xf numFmtId="39" fontId="31" fillId="0" borderId="15" xfId="28" applyNumberFormat="1" applyFont="1" applyFill="1" applyBorder="1" applyAlignment="1" applyProtection="1">
      <alignment horizontal="left" vertical="center" indent="1"/>
      <protection locked="0" hidden="1"/>
    </xf>
    <xf numFmtId="43" fontId="37" fillId="0" borderId="0" xfId="28" applyFont="1" applyFill="1" applyBorder="1" applyAlignment="1" applyProtection="1">
      <alignment vertical="center"/>
      <protection hidden="1"/>
    </xf>
    <xf numFmtId="0" fontId="8" fillId="0" borderId="0" xfId="0" applyFont="1"/>
    <xf numFmtId="4" fontId="0" fillId="0" borderId="0" xfId="0" applyNumberFormat="1"/>
    <xf numFmtId="0" fontId="9" fillId="0" borderId="11" xfId="0" applyFont="1" applyBorder="1" applyAlignment="1">
      <alignment horizontal="left" vertical="center" wrapText="1"/>
    </xf>
    <xf numFmtId="43" fontId="32" fillId="22" borderId="38" xfId="28" applyFont="1" applyFill="1" applyBorder="1" applyAlignment="1">
      <alignment horizontal="center" vertical="center" wrapText="1"/>
    </xf>
    <xf numFmtId="43" fontId="31" fillId="22" borderId="33" xfId="28" applyFont="1" applyFill="1" applyBorder="1" applyAlignment="1">
      <alignment vertical="center"/>
    </xf>
    <xf numFmtId="43" fontId="31" fillId="0" borderId="0" xfId="28" applyFont="1" applyBorder="1" applyAlignment="1">
      <alignment vertical="center"/>
    </xf>
    <xf numFmtId="43" fontId="31" fillId="0" borderId="18" xfId="28" applyFont="1" applyFill="1" applyBorder="1" applyAlignment="1" applyProtection="1">
      <alignment vertical="center"/>
      <protection hidden="1"/>
    </xf>
    <xf numFmtId="15" fontId="31" fillId="0" borderId="17" xfId="0" applyNumberFormat="1" applyFont="1" applyBorder="1" applyAlignment="1" applyProtection="1">
      <alignment vertical="center"/>
      <protection hidden="1"/>
    </xf>
    <xf numFmtId="15" fontId="31" fillId="0" borderId="0" xfId="0" applyNumberFormat="1" applyFont="1" applyAlignment="1" applyProtection="1">
      <alignment vertical="center"/>
      <protection hidden="1"/>
    </xf>
    <xf numFmtId="165" fontId="31" fillId="0" borderId="0" xfId="28" applyNumberFormat="1" applyFont="1" applyFill="1" applyBorder="1" applyAlignment="1" applyProtection="1">
      <alignment vertical="center"/>
      <protection hidden="1"/>
    </xf>
    <xf numFmtId="0" fontId="31" fillId="0" borderId="0" xfId="0" applyFont="1" applyAlignment="1">
      <alignment horizontal="right"/>
    </xf>
    <xf numFmtId="39" fontId="31" fillId="24" borderId="15" xfId="28" applyNumberFormat="1" applyFont="1" applyFill="1" applyBorder="1" applyAlignment="1" applyProtection="1">
      <alignment horizontal="left" vertical="center" indent="1"/>
      <protection locked="0" hidden="1"/>
    </xf>
    <xf numFmtId="15" fontId="0" fillId="0" borderId="0" xfId="0" applyNumberFormat="1"/>
    <xf numFmtId="43" fontId="31" fillId="0" borderId="53" xfId="28" applyFont="1" applyFill="1" applyBorder="1" applyAlignment="1">
      <alignment vertical="center"/>
    </xf>
    <xf numFmtId="43" fontId="32" fillId="0" borderId="56" xfId="28" quotePrefix="1" applyFont="1" applyFill="1" applyBorder="1" applyAlignment="1">
      <alignment horizontal="center" vertical="center" wrapText="1"/>
    </xf>
    <xf numFmtId="43" fontId="31" fillId="0" borderId="109" xfId="28" applyFont="1" applyFill="1" applyBorder="1" applyAlignment="1" applyProtection="1">
      <alignment vertical="center"/>
      <protection hidden="1"/>
    </xf>
    <xf numFmtId="43" fontId="31" fillId="0" borderId="23" xfId="28" applyFont="1" applyFill="1" applyBorder="1" applyAlignment="1">
      <alignment horizontal="right" vertical="center"/>
    </xf>
    <xf numFmtId="43" fontId="38" fillId="0" borderId="0" xfId="28" applyFont="1" applyFill="1" applyBorder="1" applyAlignment="1" applyProtection="1">
      <alignment vertical="center"/>
      <protection locked="0"/>
    </xf>
    <xf numFmtId="43" fontId="38" fillId="0" borderId="0" xfId="28" applyFont="1" applyFill="1" applyAlignment="1" applyProtection="1">
      <alignment vertical="center"/>
      <protection locked="0"/>
    </xf>
    <xf numFmtId="43" fontId="7" fillId="0" borderId="14" xfId="28" applyFont="1" applyBorder="1" applyAlignment="1">
      <alignment horizontal="left" vertical="center"/>
    </xf>
    <xf numFmtId="43" fontId="7" fillId="0" borderId="12" xfId="28" applyFont="1" applyBorder="1" applyAlignment="1">
      <alignment horizontal="left" vertical="center"/>
    </xf>
    <xf numFmtId="43" fontId="31" fillId="0" borderId="0" xfId="28" applyFont="1" applyFill="1"/>
    <xf numFmtId="43" fontId="33" fillId="0" borderId="46" xfId="28" applyFont="1" applyFill="1" applyBorder="1" applyAlignment="1" applyProtection="1">
      <alignment horizontal="center" vertical="center" wrapText="1"/>
      <protection hidden="1"/>
    </xf>
    <xf numFmtId="43" fontId="31" fillId="0" borderId="0" xfId="28" applyFont="1" applyFill="1" applyBorder="1"/>
    <xf numFmtId="43" fontId="33" fillId="0" borderId="45" xfId="28" applyFont="1" applyFill="1" applyBorder="1" applyAlignment="1">
      <alignment horizontal="center" vertical="center" wrapText="1"/>
    </xf>
    <xf numFmtId="0" fontId="31" fillId="0" borderId="0" xfId="0" applyFont="1" applyAlignment="1">
      <alignment horizontal="left" indent="1"/>
    </xf>
    <xf numFmtId="0" fontId="31" fillId="0" borderId="18" xfId="0" applyFont="1" applyBorder="1" applyAlignment="1" applyProtection="1">
      <alignment horizontal="left" vertical="center" indent="1"/>
      <protection hidden="1"/>
    </xf>
    <xf numFmtId="0" fontId="31" fillId="0" borderId="0" xfId="0" applyFont="1" applyAlignment="1" applyProtection="1">
      <alignment horizontal="left" vertical="center" indent="1"/>
      <protection hidden="1"/>
    </xf>
    <xf numFmtId="0" fontId="48" fillId="0" borderId="0" xfId="0" applyFont="1"/>
    <xf numFmtId="43" fontId="48" fillId="0" borderId="0" xfId="47" applyFont="1"/>
    <xf numFmtId="43" fontId="48" fillId="0" borderId="54" xfId="47" applyFont="1" applyBorder="1"/>
    <xf numFmtId="0" fontId="48" fillId="0" borderId="0" xfId="0" applyFont="1" applyAlignment="1">
      <alignment wrapText="1"/>
    </xf>
    <xf numFmtId="166" fontId="48" fillId="0" borderId="0" xfId="47" applyNumberFormat="1" applyFont="1"/>
    <xf numFmtId="43" fontId="49" fillId="0" borderId="0" xfId="47" applyFont="1" applyAlignment="1">
      <alignment horizontal="center" vertical="center"/>
    </xf>
    <xf numFmtId="43" fontId="48" fillId="0" borderId="0" xfId="47" applyFont="1" applyAlignment="1">
      <alignment vertical="center"/>
    </xf>
    <xf numFmtId="166" fontId="48" fillId="0" borderId="0" xfId="47" applyNumberFormat="1" applyFont="1" applyAlignment="1">
      <alignment vertical="center"/>
    </xf>
    <xf numFmtId="43" fontId="31" fillId="0" borderId="122" xfId="28" applyFont="1" applyFill="1" applyBorder="1" applyAlignment="1" applyProtection="1">
      <alignment vertical="center"/>
      <protection hidden="1"/>
    </xf>
    <xf numFmtId="20" fontId="0" fillId="0" borderId="0" xfId="0" applyNumberFormat="1"/>
    <xf numFmtId="43" fontId="31" fillId="0" borderId="0" xfId="0" applyNumberFormat="1" applyFont="1" applyAlignment="1">
      <alignment wrapText="1"/>
    </xf>
    <xf numFmtId="43" fontId="31" fillId="0" borderId="0" xfId="0" applyNumberFormat="1" applyFont="1"/>
    <xf numFmtId="43" fontId="31" fillId="22" borderId="33" xfId="28" quotePrefix="1" applyFont="1" applyFill="1" applyBorder="1" applyAlignment="1">
      <alignment vertical="center"/>
    </xf>
    <xf numFmtId="43" fontId="31" fillId="0" borderId="0" xfId="28" applyFont="1" applyAlignment="1"/>
    <xf numFmtId="43" fontId="31" fillId="22" borderId="33" xfId="28" applyFont="1" applyFill="1" applyBorder="1" applyAlignment="1" applyProtection="1">
      <protection hidden="1"/>
    </xf>
    <xf numFmtId="43" fontId="32" fillId="0" borderId="0" xfId="28" applyFont="1" applyFill="1" applyAlignment="1">
      <alignment vertical="center"/>
    </xf>
    <xf numFmtId="43" fontId="50" fillId="22" borderId="0" xfId="28" applyFont="1" applyFill="1" applyBorder="1" applyAlignment="1">
      <alignment horizontal="center" vertical="center" wrapText="1"/>
    </xf>
    <xf numFmtId="0" fontId="52" fillId="0" borderId="0" xfId="0" applyFont="1" applyAlignment="1">
      <alignment horizontal="center" vertical="center"/>
    </xf>
    <xf numFmtId="0" fontId="52" fillId="0" borderId="0" xfId="0" applyFont="1" applyAlignment="1">
      <alignment horizontal="center" vertical="center" wrapText="1"/>
    </xf>
    <xf numFmtId="166" fontId="31" fillId="0" borderId="0" xfId="50" applyNumberFormat="1" applyFont="1" applyFill="1" applyBorder="1" applyAlignment="1">
      <alignment vertical="center"/>
    </xf>
    <xf numFmtId="165" fontId="31" fillId="0" borderId="35" xfId="50" applyNumberFormat="1" applyFont="1" applyBorder="1" applyAlignment="1">
      <alignment horizontal="center" vertical="center"/>
    </xf>
    <xf numFmtId="0" fontId="48" fillId="0" borderId="45" xfId="0" applyFont="1" applyBorder="1" applyAlignment="1">
      <alignment horizontal="center" vertical="center" textRotation="180" wrapText="1"/>
    </xf>
    <xf numFmtId="0" fontId="48" fillId="24" borderId="16" xfId="37" applyFont="1" applyFill="1" applyBorder="1" applyAlignment="1" applyProtection="1">
      <alignment horizontal="left" vertical="center" indent="1"/>
      <protection locked="0"/>
    </xf>
    <xf numFmtId="0" fontId="48" fillId="0" borderId="16" xfId="37" applyFont="1" applyFill="1" applyBorder="1" applyAlignment="1" applyProtection="1">
      <alignment horizontal="left" vertical="center" indent="1"/>
      <protection locked="0"/>
    </xf>
    <xf numFmtId="0" fontId="53" fillId="0" borderId="0" xfId="0" applyFont="1" applyAlignment="1">
      <alignment horizontal="left" vertical="center" wrapText="1"/>
    </xf>
    <xf numFmtId="43" fontId="54" fillId="0" borderId="0" xfId="47" applyFont="1" applyAlignment="1">
      <alignment vertical="center"/>
    </xf>
    <xf numFmtId="43" fontId="53" fillId="0" borderId="0" xfId="0" applyNumberFormat="1" applyFont="1" applyAlignment="1">
      <alignment vertical="center"/>
    </xf>
    <xf numFmtId="166" fontId="54" fillId="0" borderId="0" xfId="47" applyNumberFormat="1" applyFont="1" applyAlignment="1">
      <alignment vertical="center"/>
    </xf>
    <xf numFmtId="164" fontId="54" fillId="0" borderId="0" xfId="47" applyNumberFormat="1" applyFont="1" applyAlignment="1">
      <alignment vertical="center"/>
    </xf>
    <xf numFmtId="43" fontId="56" fillId="0" borderId="0" xfId="28" applyFont="1" applyAlignment="1">
      <alignment vertical="center"/>
    </xf>
    <xf numFmtId="43" fontId="56" fillId="0" borderId="0" xfId="28" applyFont="1" applyFill="1" applyAlignment="1">
      <alignment vertical="center"/>
    </xf>
    <xf numFmtId="165" fontId="56" fillId="0" borderId="0" xfId="28" applyNumberFormat="1" applyFont="1" applyFill="1" applyAlignment="1">
      <alignment vertical="center"/>
    </xf>
    <xf numFmtId="43" fontId="57" fillId="0" borderId="0" xfId="28" applyFont="1" applyFill="1" applyAlignment="1">
      <alignment vertical="center"/>
    </xf>
    <xf numFmtId="43" fontId="56" fillId="0" borderId="0" xfId="28" applyFont="1" applyFill="1" applyAlignment="1" applyProtection="1">
      <alignment vertical="center"/>
      <protection locked="0"/>
    </xf>
    <xf numFmtId="0" fontId="58" fillId="0" borderId="0" xfId="0" applyFont="1"/>
    <xf numFmtId="0" fontId="59" fillId="0" borderId="0" xfId="0" applyFont="1"/>
    <xf numFmtId="0" fontId="58" fillId="0" borderId="0" xfId="0" applyFont="1" applyAlignment="1">
      <alignment vertical="center"/>
    </xf>
    <xf numFmtId="0" fontId="60" fillId="0" borderId="0" xfId="0" applyFont="1" applyAlignment="1">
      <alignment horizontal="right" vertical="center"/>
    </xf>
    <xf numFmtId="0" fontId="60" fillId="0" borderId="0" xfId="0" applyFont="1" applyAlignment="1">
      <alignment horizontal="right" vertical="center" indent="1"/>
    </xf>
    <xf numFmtId="170" fontId="58" fillId="0" borderId="0" xfId="0" applyNumberFormat="1" applyFont="1"/>
    <xf numFmtId="170" fontId="61" fillId="0" borderId="0" xfId="0" applyNumberFormat="1" applyFont="1"/>
    <xf numFmtId="169" fontId="62" fillId="0" borderId="0" xfId="0" applyNumberFormat="1" applyFont="1"/>
    <xf numFmtId="0" fontId="63" fillId="0" borderId="0" xfId="0" quotePrefix="1" applyFont="1" applyAlignment="1">
      <alignment horizontal="left" vertical="center" wrapText="1"/>
    </xf>
    <xf numFmtId="0" fontId="64" fillId="0" borderId="0" xfId="37" applyFont="1" applyAlignment="1" applyProtection="1">
      <alignment vertical="center"/>
    </xf>
    <xf numFmtId="0" fontId="58" fillId="0" borderId="0" xfId="0" applyFont="1" applyAlignment="1">
      <alignment horizontal="right" vertical="center" indent="1"/>
    </xf>
    <xf numFmtId="0" fontId="58" fillId="0" borderId="0" xfId="0" quotePrefix="1" applyFont="1" applyAlignment="1">
      <alignment horizontal="left" vertical="center"/>
    </xf>
    <xf numFmtId="0" fontId="65" fillId="0" borderId="0" xfId="37" applyFont="1" applyAlignment="1" applyProtection="1">
      <alignment vertical="center"/>
    </xf>
    <xf numFmtId="0" fontId="58" fillId="0" borderId="0" xfId="0" applyFont="1" applyAlignment="1">
      <alignment horizontal="right" vertical="center"/>
    </xf>
    <xf numFmtId="0" fontId="58" fillId="0" borderId="0" xfId="0" quotePrefix="1" applyFont="1" applyAlignment="1">
      <alignment horizontal="right" vertical="center" indent="1"/>
    </xf>
    <xf numFmtId="0" fontId="58" fillId="0" borderId="0" xfId="0" applyFont="1" applyAlignment="1">
      <alignment horizontal="left" vertical="center" indent="2"/>
    </xf>
    <xf numFmtId="0" fontId="58" fillId="0" borderId="0" xfId="0" applyFont="1" applyAlignment="1">
      <alignment horizontal="left" vertical="center"/>
    </xf>
    <xf numFmtId="0" fontId="58" fillId="0" borderId="0" xfId="0" applyFont="1" applyAlignment="1">
      <alignment horizontal="left" vertical="center" indent="3"/>
    </xf>
    <xf numFmtId="43" fontId="32" fillId="0" borderId="127" xfId="28" applyFont="1" applyFill="1" applyBorder="1" applyAlignment="1">
      <alignment vertical="center"/>
    </xf>
    <xf numFmtId="43" fontId="31" fillId="0" borderId="0" xfId="28" quotePrefix="1" applyFont="1" applyFill="1" applyAlignment="1">
      <alignment vertical="center"/>
    </xf>
    <xf numFmtId="0" fontId="48" fillId="24" borderId="16" xfId="37" quotePrefix="1" applyFont="1" applyFill="1" applyBorder="1" applyAlignment="1" applyProtection="1">
      <alignment horizontal="left" vertical="center" indent="1"/>
      <protection locked="0"/>
    </xf>
    <xf numFmtId="43" fontId="31" fillId="0" borderId="49" xfId="28" applyFont="1" applyFill="1" applyBorder="1" applyAlignment="1" applyProtection="1">
      <alignment vertical="center"/>
      <protection hidden="1"/>
    </xf>
    <xf numFmtId="43" fontId="31" fillId="0" borderId="105" xfId="50" applyFont="1" applyBorder="1" applyAlignment="1">
      <alignment vertical="center"/>
    </xf>
    <xf numFmtId="43" fontId="31" fillId="0" borderId="106" xfId="50" applyFont="1" applyBorder="1" applyAlignment="1">
      <alignment vertical="center"/>
    </xf>
    <xf numFmtId="43" fontId="13" fillId="24" borderId="27" xfId="28" applyFont="1" applyFill="1" applyBorder="1" applyAlignment="1" applyProtection="1">
      <alignment horizontal="right" vertical="center"/>
      <protection hidden="1"/>
    </xf>
    <xf numFmtId="0" fontId="48" fillId="0" borderId="16" xfId="37" quotePrefix="1" applyFont="1" applyFill="1" applyBorder="1" applyAlignment="1" applyProtection="1">
      <alignment horizontal="left" vertical="center" indent="1"/>
      <protection locked="0"/>
    </xf>
    <xf numFmtId="0" fontId="7" fillId="0" borderId="0" xfId="53" applyAlignment="1" applyProtection="1">
      <alignment vertical="center"/>
      <protection hidden="1"/>
    </xf>
    <xf numFmtId="43" fontId="13" fillId="24" borderId="50" xfId="28" applyFont="1" applyFill="1" applyBorder="1" applyAlignment="1">
      <alignment horizontal="center" vertical="center" wrapText="1"/>
    </xf>
    <xf numFmtId="43" fontId="55" fillId="24" borderId="0" xfId="28" applyFont="1" applyFill="1" applyBorder="1" applyAlignment="1">
      <alignment horizontal="center" vertical="center" wrapText="1"/>
    </xf>
    <xf numFmtId="43" fontId="55" fillId="24" borderId="26" xfId="28" applyFont="1" applyFill="1" applyBorder="1" applyAlignment="1" applyProtection="1">
      <alignment vertical="center"/>
      <protection locked="0"/>
    </xf>
    <xf numFmtId="43" fontId="31" fillId="24" borderId="35" xfId="28" applyFont="1" applyFill="1" applyBorder="1" applyAlignment="1">
      <alignment horizontal="right" vertical="center"/>
    </xf>
    <xf numFmtId="43" fontId="13" fillId="24" borderId="27" xfId="28" applyFont="1" applyFill="1" applyBorder="1" applyAlignment="1" applyProtection="1">
      <alignment vertical="center"/>
      <protection hidden="1"/>
    </xf>
    <xf numFmtId="43" fontId="13" fillId="24" borderId="108" xfId="28" applyFont="1" applyFill="1" applyBorder="1" applyAlignment="1" applyProtection="1">
      <alignment vertical="center"/>
      <protection hidden="1"/>
    </xf>
    <xf numFmtId="43" fontId="13" fillId="24" borderId="51" xfId="28" applyFont="1" applyFill="1" applyBorder="1" applyAlignment="1" applyProtection="1">
      <alignment horizontal="center" vertical="center"/>
      <protection hidden="1"/>
    </xf>
    <xf numFmtId="43" fontId="13" fillId="24" borderId="29" xfId="28" applyFont="1" applyFill="1" applyBorder="1" applyAlignment="1" applyProtection="1">
      <alignment vertical="center"/>
      <protection hidden="1"/>
    </xf>
    <xf numFmtId="43" fontId="13" fillId="24" borderId="26" xfId="28" applyFont="1" applyFill="1" applyBorder="1" applyAlignment="1" applyProtection="1">
      <alignment vertical="center"/>
      <protection hidden="1"/>
    </xf>
    <xf numFmtId="43" fontId="13" fillId="24" borderId="30" xfId="28" applyFont="1" applyFill="1" applyBorder="1" applyAlignment="1" applyProtection="1">
      <alignment vertical="center"/>
      <protection hidden="1"/>
    </xf>
    <xf numFmtId="43" fontId="13" fillId="24" borderId="31" xfId="28" applyFont="1" applyFill="1" applyBorder="1" applyAlignment="1" applyProtection="1">
      <alignment vertical="center"/>
      <protection hidden="1"/>
    </xf>
    <xf numFmtId="43" fontId="13" fillId="24" borderId="47" xfId="28" applyFont="1" applyFill="1" applyBorder="1" applyAlignment="1" applyProtection="1">
      <alignment vertical="center"/>
      <protection hidden="1"/>
    </xf>
    <xf numFmtId="43" fontId="13" fillId="24" borderId="48" xfId="28" applyFont="1" applyFill="1" applyBorder="1" applyAlignment="1" applyProtection="1">
      <alignment vertical="center"/>
      <protection hidden="1"/>
    </xf>
    <xf numFmtId="43" fontId="36" fillId="24" borderId="26" xfId="28" applyFont="1" applyFill="1" applyBorder="1" applyAlignment="1" applyProtection="1">
      <alignment vertical="center"/>
      <protection hidden="1"/>
    </xf>
    <xf numFmtId="43" fontId="37" fillId="24" borderId="26" xfId="28" applyFont="1" applyFill="1" applyBorder="1" applyAlignment="1" applyProtection="1">
      <protection hidden="1"/>
    </xf>
    <xf numFmtId="43" fontId="68" fillId="28" borderId="26" xfId="55" applyFont="1" applyFill="1" applyBorder="1" applyAlignment="1" applyProtection="1">
      <alignment vertical="center"/>
      <protection hidden="1"/>
    </xf>
    <xf numFmtId="43" fontId="69" fillId="28" borderId="26" xfId="55" applyFont="1" applyFill="1" applyBorder="1" applyAlignment="1" applyProtection="1">
      <alignment vertical="center"/>
      <protection hidden="1"/>
    </xf>
    <xf numFmtId="15" fontId="31" fillId="27" borderId="13" xfId="0" applyNumberFormat="1" applyFont="1" applyFill="1" applyBorder="1" applyAlignment="1" applyProtection="1">
      <alignment horizontal="left" vertical="center"/>
      <protection locked="0"/>
    </xf>
    <xf numFmtId="49" fontId="31" fillId="27" borderId="15" xfId="28" applyNumberFormat="1" applyFont="1" applyFill="1" applyBorder="1" applyAlignment="1" applyProtection="1">
      <alignment horizontal="left" vertical="center"/>
      <protection locked="0"/>
    </xf>
    <xf numFmtId="166" fontId="31" fillId="27" borderId="15" xfId="28" applyNumberFormat="1" applyFont="1" applyFill="1" applyBorder="1" applyAlignment="1" applyProtection="1">
      <alignment horizontal="left" vertical="center"/>
      <protection locked="0"/>
    </xf>
    <xf numFmtId="43" fontId="31" fillId="27" borderId="24" xfId="28" applyFont="1" applyFill="1" applyBorder="1" applyAlignment="1" applyProtection="1">
      <alignment horizontal="left" vertical="center"/>
      <protection hidden="1"/>
    </xf>
    <xf numFmtId="49" fontId="31" fillId="27" borderId="15" xfId="0" applyNumberFormat="1" applyFont="1" applyFill="1" applyBorder="1" applyAlignment="1" applyProtection="1">
      <alignment horizontal="left" vertical="center"/>
      <protection locked="0"/>
    </xf>
    <xf numFmtId="0" fontId="31" fillId="27" borderId="0" xfId="0" applyFont="1" applyFill="1" applyAlignment="1">
      <alignment horizontal="left" vertical="center"/>
    </xf>
    <xf numFmtId="43" fontId="31" fillId="27" borderId="15" xfId="28" applyFont="1" applyFill="1" applyBorder="1" applyAlignment="1" applyProtection="1">
      <alignment horizontal="left" vertical="center"/>
      <protection locked="0"/>
    </xf>
    <xf numFmtId="43" fontId="7" fillId="0" borderId="0" xfId="0" applyNumberFormat="1" applyFont="1" applyAlignment="1">
      <alignment vertical="center"/>
    </xf>
    <xf numFmtId="43" fontId="33" fillId="24" borderId="26" xfId="28" applyFont="1" applyFill="1" applyBorder="1" applyAlignment="1" applyProtection="1">
      <alignment vertical="center"/>
      <protection hidden="1"/>
    </xf>
    <xf numFmtId="43" fontId="9" fillId="0" borderId="63" xfId="0" applyNumberFormat="1" applyFont="1" applyBorder="1" applyAlignment="1">
      <alignment horizontal="left" vertical="center" wrapText="1"/>
    </xf>
    <xf numFmtId="0" fontId="52" fillId="24" borderId="0" xfId="0" applyFont="1" applyFill="1" applyAlignment="1">
      <alignment horizontal="center" vertical="center" wrapText="1"/>
    </xf>
    <xf numFmtId="15" fontId="48" fillId="24" borderId="15" xfId="37" applyNumberFormat="1" applyFont="1" applyFill="1" applyBorder="1" applyAlignment="1" applyProtection="1">
      <alignment horizontal="left" vertical="center" indent="1"/>
      <protection locked="0"/>
    </xf>
    <xf numFmtId="39" fontId="31" fillId="24" borderId="15" xfId="28" applyNumberFormat="1" applyFont="1" applyFill="1" applyBorder="1" applyAlignment="1" applyProtection="1">
      <alignment horizontal="left" vertical="center" indent="1"/>
      <protection hidden="1"/>
    </xf>
    <xf numFmtId="0" fontId="71" fillId="0" borderId="0" xfId="0" applyFont="1" applyAlignment="1">
      <alignment vertical="center"/>
    </xf>
    <xf numFmtId="0" fontId="48" fillId="0" borderId="0" xfId="46" applyFont="1"/>
    <xf numFmtId="0" fontId="48" fillId="0" borderId="0" xfId="46" applyFont="1" applyAlignment="1">
      <alignment horizontal="left" indent="1"/>
    </xf>
    <xf numFmtId="43" fontId="48" fillId="0" borderId="0" xfId="28" applyFont="1"/>
    <xf numFmtId="43" fontId="48" fillId="0" borderId="0" xfId="28" applyFont="1" applyFill="1"/>
    <xf numFmtId="0" fontId="72" fillId="0" borderId="67" xfId="46" applyFont="1" applyBorder="1" applyAlignment="1">
      <alignment horizontal="center" vertical="center" wrapText="1"/>
    </xf>
    <xf numFmtId="0" fontId="72" fillId="0" borderId="68" xfId="46" applyFont="1" applyBorder="1" applyAlignment="1">
      <alignment horizontal="center" vertical="center" wrapText="1"/>
    </xf>
    <xf numFmtId="43" fontId="72" fillId="22" borderId="69" xfId="28" applyFont="1" applyFill="1" applyBorder="1" applyAlignment="1">
      <alignment horizontal="center" vertical="center" wrapText="1"/>
    </xf>
    <xf numFmtId="43" fontId="72" fillId="0" borderId="68" xfId="28" applyFont="1" applyBorder="1" applyAlignment="1">
      <alignment horizontal="center" vertical="center" wrapText="1"/>
    </xf>
    <xf numFmtId="0" fontId="72" fillId="0" borderId="70" xfId="46" applyFont="1" applyBorder="1" applyAlignment="1">
      <alignment horizontal="center" vertical="center" wrapText="1"/>
    </xf>
    <xf numFmtId="0" fontId="48" fillId="0" borderId="0" xfId="46" applyFont="1" applyAlignment="1">
      <alignment horizontal="left" wrapText="1" indent="1"/>
    </xf>
    <xf numFmtId="0" fontId="48" fillId="0" borderId="0" xfId="46" applyFont="1" applyAlignment="1">
      <alignment horizontal="left" vertical="center" wrapText="1" indent="1"/>
    </xf>
    <xf numFmtId="0" fontId="48" fillId="0" borderId="0" xfId="46" applyFont="1" applyAlignment="1">
      <alignment vertical="center"/>
    </xf>
    <xf numFmtId="0" fontId="48" fillId="0" borderId="71" xfId="46" applyFont="1" applyBorder="1" applyAlignment="1">
      <alignment vertical="center"/>
    </xf>
    <xf numFmtId="0" fontId="72" fillId="0" borderId="72" xfId="46" applyFont="1" applyBorder="1" applyAlignment="1">
      <alignment vertical="center"/>
    </xf>
    <xf numFmtId="0" fontId="48" fillId="0" borderId="72" xfId="46" applyFont="1" applyBorder="1" applyAlignment="1">
      <alignment vertical="center"/>
    </xf>
    <xf numFmtId="172" fontId="48" fillId="0" borderId="35" xfId="46" applyNumberFormat="1" applyFont="1" applyBorder="1" applyAlignment="1">
      <alignment horizontal="left" vertical="center" indent="1"/>
    </xf>
    <xf numFmtId="0" fontId="48" fillId="0" borderId="72" xfId="46" applyFont="1" applyBorder="1" applyAlignment="1">
      <alignment horizontal="left" vertical="center" indent="1"/>
    </xf>
    <xf numFmtId="43" fontId="48" fillId="22" borderId="72" xfId="28" applyFont="1" applyFill="1" applyBorder="1" applyAlignment="1">
      <alignment vertical="center"/>
    </xf>
    <xf numFmtId="43" fontId="48" fillId="0" borderId="72" xfId="28" applyFont="1" applyFill="1" applyBorder="1" applyAlignment="1">
      <alignment vertical="center"/>
    </xf>
    <xf numFmtId="0" fontId="48" fillId="0" borderId="73" xfId="46" applyFont="1" applyBorder="1" applyAlignment="1">
      <alignment vertical="center"/>
    </xf>
    <xf numFmtId="0" fontId="48" fillId="0" borderId="0" xfId="46" applyFont="1" applyAlignment="1">
      <alignment vertical="center" wrapText="1"/>
    </xf>
    <xf numFmtId="173" fontId="48" fillId="0" borderId="0" xfId="46" applyNumberFormat="1" applyFont="1" applyAlignment="1">
      <alignment vertical="center"/>
    </xf>
    <xf numFmtId="174" fontId="48" fillId="0" borderId="0" xfId="46" applyNumberFormat="1" applyFont="1" applyAlignment="1">
      <alignment vertical="center" wrapText="1"/>
    </xf>
    <xf numFmtId="0" fontId="48" fillId="0" borderId="74" xfId="46" applyFont="1" applyBorder="1" applyAlignment="1">
      <alignment vertical="center"/>
    </xf>
    <xf numFmtId="174" fontId="48" fillId="0" borderId="0" xfId="46" applyNumberFormat="1" applyFont="1" applyAlignment="1">
      <alignment vertical="center"/>
    </xf>
    <xf numFmtId="0" fontId="48" fillId="0" borderId="75" xfId="46" applyFont="1" applyBorder="1"/>
    <xf numFmtId="0" fontId="48" fillId="0" borderId="76" xfId="46" applyFont="1" applyBorder="1"/>
    <xf numFmtId="172" fontId="48" fillId="0" borderId="0" xfId="46" applyNumberFormat="1" applyFont="1" applyAlignment="1">
      <alignment horizontal="left" indent="1"/>
    </xf>
    <xf numFmtId="0" fontId="48" fillId="0" borderId="76" xfId="46" applyFont="1" applyBorder="1" applyAlignment="1">
      <alignment horizontal="left" indent="1"/>
    </xf>
    <xf numFmtId="43" fontId="48" fillId="22" borderId="76" xfId="28" applyFont="1" applyFill="1" applyBorder="1"/>
    <xf numFmtId="43" fontId="48" fillId="0" borderId="76" xfId="28" applyFont="1" applyFill="1" applyBorder="1"/>
    <xf numFmtId="0" fontId="48" fillId="0" borderId="14" xfId="46" applyFont="1" applyBorder="1"/>
    <xf numFmtId="0" fontId="48" fillId="0" borderId="0" xfId="46" applyFont="1" applyAlignment="1">
      <alignment wrapText="1"/>
    </xf>
    <xf numFmtId="173" fontId="48" fillId="0" borderId="0" xfId="46" applyNumberFormat="1" applyFont="1"/>
    <xf numFmtId="174" fontId="48" fillId="0" borderId="0" xfId="46" applyNumberFormat="1" applyFont="1"/>
    <xf numFmtId="0" fontId="72" fillId="0" borderId="78" xfId="46" applyFont="1" applyBorder="1"/>
    <xf numFmtId="172" fontId="48" fillId="0" borderId="52" xfId="46" applyNumberFormat="1" applyFont="1" applyBorder="1" applyAlignment="1">
      <alignment horizontal="left" indent="1"/>
    </xf>
    <xf numFmtId="0" fontId="48" fillId="0" borderId="78" xfId="46" applyFont="1" applyBorder="1" applyAlignment="1">
      <alignment horizontal="left" indent="1"/>
    </xf>
    <xf numFmtId="43" fontId="48" fillId="22" borderId="78" xfId="28" applyFont="1" applyFill="1" applyBorder="1"/>
    <xf numFmtId="43" fontId="48" fillId="0" borderId="78" xfId="28" applyFont="1" applyFill="1" applyBorder="1"/>
    <xf numFmtId="174" fontId="48" fillId="0" borderId="0" xfId="46" applyNumberFormat="1" applyFont="1" applyAlignment="1">
      <alignment horizontal="center"/>
    </xf>
    <xf numFmtId="0" fontId="48" fillId="0" borderId="72" xfId="46" applyFont="1" applyBorder="1" applyAlignment="1">
      <alignment wrapText="1"/>
    </xf>
    <xf numFmtId="0" fontId="48" fillId="0" borderId="72" xfId="46" applyFont="1" applyBorder="1" applyAlignment="1">
      <alignment horizontal="left" indent="1"/>
    </xf>
    <xf numFmtId="43" fontId="48" fillId="22" borderId="72" xfId="28" applyFont="1" applyFill="1" applyBorder="1" applyAlignment="1">
      <alignment horizontal="left"/>
    </xf>
    <xf numFmtId="174" fontId="73" fillId="0" borderId="0" xfId="46" applyNumberFormat="1" applyFont="1"/>
    <xf numFmtId="0" fontId="48" fillId="0" borderId="74" xfId="46" applyFont="1" applyBorder="1"/>
    <xf numFmtId="0" fontId="48" fillId="0" borderId="77" xfId="46" applyFont="1" applyBorder="1"/>
    <xf numFmtId="0" fontId="48" fillId="0" borderId="78" xfId="46" applyFont="1" applyBorder="1"/>
    <xf numFmtId="0" fontId="48" fillId="0" borderId="82" xfId="46" applyFont="1" applyBorder="1" applyAlignment="1">
      <alignment horizontal="left" vertical="center"/>
    </xf>
    <xf numFmtId="0" fontId="48" fillId="0" borderId="83" xfId="46" applyFont="1" applyBorder="1" applyAlignment="1">
      <alignment horizontal="left" vertical="center"/>
    </xf>
    <xf numFmtId="172" fontId="48" fillId="0" borderId="84" xfId="46" applyNumberFormat="1" applyFont="1" applyBorder="1" applyAlignment="1">
      <alignment horizontal="left" vertical="center" indent="1"/>
    </xf>
    <xf numFmtId="0" fontId="48" fillId="0" borderId="83" xfId="46" applyFont="1" applyBorder="1" applyAlignment="1">
      <alignment horizontal="left" vertical="center" indent="1"/>
    </xf>
    <xf numFmtId="43" fontId="48" fillId="22" borderId="83" xfId="28" applyFont="1" applyFill="1" applyBorder="1" applyAlignment="1">
      <alignment horizontal="left" vertical="center"/>
    </xf>
    <xf numFmtId="43" fontId="48" fillId="0" borderId="83" xfId="28" applyFont="1" applyFill="1" applyBorder="1" applyAlignment="1">
      <alignment horizontal="left" vertical="center"/>
    </xf>
    <xf numFmtId="173" fontId="73" fillId="0" borderId="0" xfId="46" applyNumberFormat="1" applyFont="1"/>
    <xf numFmtId="0" fontId="48" fillId="0" borderId="75" xfId="46" applyFont="1" applyBorder="1" applyAlignment="1">
      <alignment horizontal="left" vertical="center"/>
    </xf>
    <xf numFmtId="0" fontId="48" fillId="0" borderId="76" xfId="46" applyFont="1" applyBorder="1" applyAlignment="1">
      <alignment horizontal="left" vertical="center"/>
    </xf>
    <xf numFmtId="172" fontId="48" fillId="0" borderId="0" xfId="46" applyNumberFormat="1" applyFont="1" applyAlignment="1">
      <alignment horizontal="left" vertical="center" indent="1"/>
    </xf>
    <xf numFmtId="0" fontId="48" fillId="0" borderId="76" xfId="46" applyFont="1" applyBorder="1" applyAlignment="1">
      <alignment horizontal="left" vertical="center" indent="1"/>
    </xf>
    <xf numFmtId="43" fontId="48" fillId="0" borderId="87" xfId="28" applyFont="1" applyFill="1" applyBorder="1" applyAlignment="1">
      <alignment horizontal="left" vertical="center"/>
    </xf>
    <xf numFmtId="0" fontId="48" fillId="0" borderId="87" xfId="46" applyFont="1" applyBorder="1" applyAlignment="1">
      <alignment horizontal="left" vertical="center" wrapText="1" indent="1"/>
    </xf>
    <xf numFmtId="0" fontId="48" fillId="0" borderId="0" xfId="46" applyFont="1" applyAlignment="1">
      <alignment horizontal="left" wrapText="1"/>
    </xf>
    <xf numFmtId="43" fontId="48" fillId="0" borderId="87" xfId="28" applyFont="1" applyFill="1" applyBorder="1" applyAlignment="1">
      <alignment vertical="center"/>
    </xf>
    <xf numFmtId="172" fontId="48" fillId="0" borderId="76" xfId="46" applyNumberFormat="1" applyFont="1" applyBorder="1" applyAlignment="1">
      <alignment horizontal="left" vertical="center" indent="1"/>
    </xf>
    <xf numFmtId="43" fontId="48" fillId="22" borderId="76" xfId="28" applyFont="1" applyFill="1" applyBorder="1" applyAlignment="1">
      <alignment vertical="center"/>
    </xf>
    <xf numFmtId="43" fontId="48" fillId="0" borderId="76" xfId="28" applyFont="1" applyFill="1" applyBorder="1" applyAlignment="1">
      <alignment vertical="center"/>
    </xf>
    <xf numFmtId="43" fontId="48" fillId="0" borderId="83" xfId="28" applyFont="1" applyFill="1" applyBorder="1" applyAlignment="1">
      <alignment vertical="center"/>
    </xf>
    <xf numFmtId="0" fontId="48" fillId="0" borderId="84" xfId="46" applyFont="1" applyBorder="1" applyAlignment="1">
      <alignment horizontal="left" vertical="center" wrapText="1" indent="1"/>
    </xf>
    <xf numFmtId="0" fontId="48" fillId="0" borderId="85" xfId="46" applyFont="1" applyBorder="1" applyAlignment="1">
      <alignment horizontal="left" vertical="center" wrapText="1"/>
    </xf>
    <xf numFmtId="0" fontId="48" fillId="0" borderId="90" xfId="46" applyFont="1" applyBorder="1" applyAlignment="1">
      <alignment horizontal="left" vertical="center"/>
    </xf>
    <xf numFmtId="0" fontId="48" fillId="0" borderId="91" xfId="46" applyFont="1" applyBorder="1" applyAlignment="1">
      <alignment horizontal="left" vertical="center"/>
    </xf>
    <xf numFmtId="172" fontId="48" fillId="0" borderId="91" xfId="46" applyNumberFormat="1" applyFont="1" applyBorder="1" applyAlignment="1">
      <alignment horizontal="left" vertical="center" indent="1"/>
    </xf>
    <xf numFmtId="43" fontId="48" fillId="22" borderId="91" xfId="28" applyFont="1" applyFill="1" applyBorder="1" applyAlignment="1">
      <alignment horizontal="left" vertical="center"/>
    </xf>
    <xf numFmtId="43" fontId="48" fillId="0" borderId="91" xfId="28" applyFont="1" applyFill="1" applyBorder="1" applyAlignment="1">
      <alignment horizontal="left" vertical="center"/>
    </xf>
    <xf numFmtId="0" fontId="48" fillId="0" borderId="92" xfId="46" applyFont="1" applyBorder="1" applyAlignment="1">
      <alignment horizontal="left" vertical="center" indent="1"/>
    </xf>
    <xf numFmtId="0" fontId="48" fillId="0" borderId="93" xfId="46" applyFont="1" applyBorder="1" applyAlignment="1">
      <alignment horizontal="left" vertical="center"/>
    </xf>
    <xf numFmtId="0" fontId="48" fillId="23" borderId="91" xfId="46" applyFont="1" applyFill="1" applyBorder="1" applyAlignment="1">
      <alignment horizontal="left" vertical="center"/>
    </xf>
    <xf numFmtId="172" fontId="48" fillId="23" borderId="91" xfId="46" applyNumberFormat="1" applyFont="1" applyFill="1" applyBorder="1" applyAlignment="1">
      <alignment horizontal="left" vertical="center" indent="1"/>
    </xf>
    <xf numFmtId="0" fontId="48" fillId="23" borderId="91" xfId="46" applyFont="1" applyFill="1" applyBorder="1" applyAlignment="1">
      <alignment horizontal="left" vertical="center" indent="1"/>
    </xf>
    <xf numFmtId="0" fontId="48" fillId="0" borderId="0" xfId="46" applyFont="1" applyAlignment="1">
      <alignment horizontal="center"/>
    </xf>
    <xf numFmtId="0" fontId="48" fillId="0" borderId="93" xfId="46" applyFont="1" applyBorder="1" applyAlignment="1">
      <alignment horizontal="left" vertical="center" wrapText="1"/>
    </xf>
    <xf numFmtId="0" fontId="48" fillId="0" borderId="77" xfId="46" applyFont="1" applyBorder="1" applyAlignment="1">
      <alignment vertical="center"/>
    </xf>
    <xf numFmtId="0" fontId="72" fillId="0" borderId="78" xfId="46" applyFont="1" applyBorder="1" applyAlignment="1">
      <alignment vertical="center"/>
    </xf>
    <xf numFmtId="0" fontId="48" fillId="0" borderId="78" xfId="46" applyFont="1" applyBorder="1" applyAlignment="1">
      <alignment vertical="center"/>
    </xf>
    <xf numFmtId="172" fontId="48" fillId="0" borderId="78" xfId="46" applyNumberFormat="1" applyFont="1" applyBorder="1" applyAlignment="1">
      <alignment horizontal="left" vertical="center"/>
    </xf>
    <xf numFmtId="0" fontId="48" fillId="0" borderId="78" xfId="46" applyFont="1" applyBorder="1" applyAlignment="1">
      <alignment horizontal="left" vertical="center" indent="1"/>
    </xf>
    <xf numFmtId="43" fontId="48" fillId="22" borderId="78" xfId="28" applyFont="1" applyFill="1" applyBorder="1" applyAlignment="1">
      <alignment vertical="center"/>
    </xf>
    <xf numFmtId="43" fontId="48" fillId="0" borderId="78" xfId="28" applyFont="1" applyFill="1" applyBorder="1" applyAlignment="1">
      <alignment vertical="center"/>
    </xf>
    <xf numFmtId="0" fontId="48" fillId="0" borderId="94" xfId="46" applyFont="1" applyBorder="1" applyAlignment="1">
      <alignment horizontal="left" vertical="center"/>
    </xf>
    <xf numFmtId="0" fontId="48" fillId="0" borderId="79" xfId="46" applyFont="1" applyBorder="1" applyAlignment="1">
      <alignment vertical="center"/>
    </xf>
    <xf numFmtId="0" fontId="48" fillId="0" borderId="95" xfId="46" applyFont="1" applyBorder="1" applyAlignment="1">
      <alignment vertical="center"/>
    </xf>
    <xf numFmtId="0" fontId="48" fillId="0" borderId="96" xfId="46" applyFont="1" applyBorder="1" applyAlignment="1">
      <alignment vertical="center"/>
    </xf>
    <xf numFmtId="0" fontId="48" fillId="0" borderId="96" xfId="46" applyFont="1" applyBorder="1" applyAlignment="1">
      <alignment vertical="center" wrapText="1"/>
    </xf>
    <xf numFmtId="172" fontId="48" fillId="0" borderId="96" xfId="46" applyNumberFormat="1" applyFont="1" applyBorder="1" applyAlignment="1">
      <alignment horizontal="left" vertical="center"/>
    </xf>
    <xf numFmtId="0" fontId="48" fillId="0" borderId="96" xfId="46" applyFont="1" applyBorder="1" applyAlignment="1">
      <alignment horizontal="left" vertical="center" indent="1"/>
    </xf>
    <xf numFmtId="43" fontId="48" fillId="22" borderId="96" xfId="28" applyFont="1" applyFill="1" applyBorder="1"/>
    <xf numFmtId="43" fontId="48" fillId="0" borderId="96" xfId="28" applyFont="1" applyFill="1" applyBorder="1"/>
    <xf numFmtId="0" fontId="48" fillId="0" borderId="97" xfId="46" applyFont="1" applyBorder="1" applyAlignment="1">
      <alignment horizontal="left" vertical="center"/>
    </xf>
    <xf numFmtId="0" fontId="48" fillId="0" borderId="98" xfId="46" applyFont="1" applyBorder="1" applyAlignment="1">
      <alignment vertical="center" wrapText="1"/>
    </xf>
    <xf numFmtId="172" fontId="48" fillId="0" borderId="0" xfId="46" applyNumberFormat="1" applyFont="1" applyAlignment="1">
      <alignment horizontal="left" vertical="center"/>
    </xf>
    <xf numFmtId="0" fontId="48" fillId="0" borderId="0" xfId="46" applyFont="1" applyAlignment="1">
      <alignment horizontal="left" vertical="center" indent="1"/>
    </xf>
    <xf numFmtId="43" fontId="48" fillId="0" borderId="0" xfId="28" applyFont="1" applyBorder="1"/>
    <xf numFmtId="43" fontId="48" fillId="0" borderId="0" xfId="28" applyFont="1" applyFill="1" applyBorder="1"/>
    <xf numFmtId="0" fontId="48" fillId="0" borderId="0" xfId="46" applyFont="1" applyAlignment="1">
      <alignment horizontal="left" vertical="center"/>
    </xf>
    <xf numFmtId="0" fontId="48" fillId="0" borderId="99" xfId="46" applyFont="1" applyBorder="1" applyAlignment="1">
      <alignment vertical="center"/>
    </xf>
    <xf numFmtId="0" fontId="72" fillId="0" borderId="100" xfId="46" applyFont="1" applyBorder="1" applyAlignment="1">
      <alignment vertical="center"/>
    </xf>
    <xf numFmtId="0" fontId="48" fillId="0" borderId="101" xfId="46" applyFont="1" applyBorder="1" applyAlignment="1">
      <alignment vertical="center"/>
    </xf>
    <xf numFmtId="172" fontId="48" fillId="0" borderId="102" xfId="46" applyNumberFormat="1" applyFont="1" applyBorder="1" applyAlignment="1">
      <alignment horizontal="left" vertical="center"/>
    </xf>
    <xf numFmtId="43" fontId="48" fillId="22" borderId="102" xfId="28" applyFont="1" applyFill="1" applyBorder="1" applyAlignment="1">
      <alignment vertical="center"/>
    </xf>
    <xf numFmtId="43" fontId="48" fillId="0" borderId="102" xfId="28" applyFont="1" applyFill="1" applyBorder="1" applyAlignment="1">
      <alignment vertical="center"/>
    </xf>
    <xf numFmtId="0" fontId="48" fillId="0" borderId="102" xfId="46" applyFont="1" applyBorder="1" applyAlignment="1">
      <alignment horizontal="left" vertical="center"/>
    </xf>
    <xf numFmtId="0" fontId="48" fillId="0" borderId="21" xfId="46" applyFont="1" applyBorder="1" applyAlignment="1">
      <alignment vertical="center"/>
    </xf>
    <xf numFmtId="0" fontId="48" fillId="0" borderId="75" xfId="46" applyFont="1" applyBorder="1" applyAlignment="1">
      <alignment vertical="center"/>
    </xf>
    <xf numFmtId="173" fontId="48" fillId="0" borderId="76" xfId="46" applyNumberFormat="1" applyFont="1" applyBorder="1" applyAlignment="1">
      <alignment vertical="center"/>
    </xf>
    <xf numFmtId="172" fontId="48" fillId="0" borderId="103" xfId="46" applyNumberFormat="1" applyFont="1" applyBorder="1" applyAlignment="1">
      <alignment horizontal="left" vertical="center"/>
    </xf>
    <xf numFmtId="0" fontId="48" fillId="0" borderId="14" xfId="46" applyFont="1" applyBorder="1" applyAlignment="1">
      <alignment vertical="center"/>
    </xf>
    <xf numFmtId="0" fontId="48" fillId="26" borderId="76" xfId="46" applyFont="1" applyFill="1" applyBorder="1" applyAlignment="1">
      <alignment vertical="center"/>
    </xf>
    <xf numFmtId="173" fontId="73" fillId="26" borderId="76" xfId="46" applyNumberFormat="1" applyFont="1" applyFill="1" applyBorder="1" applyAlignment="1">
      <alignment vertical="center"/>
    </xf>
    <xf numFmtId="172" fontId="48" fillId="26" borderId="103" xfId="46" applyNumberFormat="1" applyFont="1" applyFill="1" applyBorder="1" applyAlignment="1">
      <alignment horizontal="left" vertical="center"/>
    </xf>
    <xf numFmtId="43" fontId="48" fillId="26" borderId="103" xfId="28" applyFont="1" applyFill="1" applyBorder="1"/>
    <xf numFmtId="43" fontId="48" fillId="0" borderId="103" xfId="28" applyFont="1" applyFill="1" applyBorder="1"/>
    <xf numFmtId="0" fontId="48" fillId="0" borderId="103" xfId="46" applyFont="1" applyBorder="1" applyAlignment="1">
      <alignment horizontal="left" vertical="center"/>
    </xf>
    <xf numFmtId="0" fontId="48" fillId="0" borderId="76" xfId="46" applyFont="1" applyBorder="1" applyAlignment="1">
      <alignment vertical="center"/>
    </xf>
    <xf numFmtId="43" fontId="48" fillId="22" borderId="103" xfId="28" applyFont="1" applyFill="1" applyBorder="1" applyAlignment="1">
      <alignment vertical="center"/>
    </xf>
    <xf numFmtId="43" fontId="48" fillId="22" borderId="103" xfId="28" applyFont="1" applyFill="1" applyBorder="1"/>
    <xf numFmtId="43" fontId="48" fillId="0" borderId="103" xfId="28" applyFont="1" applyFill="1" applyBorder="1" applyAlignment="1">
      <alignment vertical="center"/>
    </xf>
    <xf numFmtId="173" fontId="48" fillId="26" borderId="76" xfId="46" applyNumberFormat="1" applyFont="1" applyFill="1" applyBorder="1" applyAlignment="1">
      <alignment vertical="center"/>
    </xf>
    <xf numFmtId="172" fontId="48" fillId="26" borderId="103" xfId="46" quotePrefix="1" applyNumberFormat="1" applyFont="1" applyFill="1" applyBorder="1" applyAlignment="1">
      <alignment horizontal="left" vertical="center"/>
    </xf>
    <xf numFmtId="43" fontId="48" fillId="26" borderId="103" xfId="28" applyFont="1" applyFill="1" applyBorder="1" applyAlignment="1">
      <alignment vertical="center"/>
    </xf>
    <xf numFmtId="172" fontId="48" fillId="0" borderId="103" xfId="46" quotePrefix="1" applyNumberFormat="1" applyFont="1" applyBorder="1" applyAlignment="1">
      <alignment horizontal="left" vertical="center"/>
    </xf>
    <xf numFmtId="43" fontId="48" fillId="22" borderId="103" xfId="28" applyFont="1" applyFill="1" applyBorder="1" applyAlignment="1">
      <alignment vertical="center" wrapText="1"/>
    </xf>
    <xf numFmtId="43" fontId="48" fillId="0" borderId="103" xfId="28" applyFont="1" applyFill="1" applyBorder="1" applyAlignment="1">
      <alignment vertical="center" wrapText="1"/>
    </xf>
    <xf numFmtId="43" fontId="48" fillId="26" borderId="103" xfId="28" applyFont="1" applyFill="1" applyBorder="1" applyAlignment="1">
      <alignment vertical="center" wrapText="1"/>
    </xf>
    <xf numFmtId="174" fontId="48" fillId="0" borderId="14" xfId="46" applyNumberFormat="1" applyFont="1" applyBorder="1" applyAlignment="1">
      <alignment vertical="center"/>
    </xf>
    <xf numFmtId="179" fontId="48" fillId="0" borderId="103" xfId="46" applyNumberFormat="1" applyFont="1" applyBorder="1" applyAlignment="1">
      <alignment horizontal="left" vertical="center"/>
    </xf>
    <xf numFmtId="179" fontId="48" fillId="26" borderId="103" xfId="46" applyNumberFormat="1" applyFont="1" applyFill="1" applyBorder="1" applyAlignment="1">
      <alignment horizontal="left" vertical="center"/>
    </xf>
    <xf numFmtId="173" fontId="48" fillId="0" borderId="76" xfId="46" applyNumberFormat="1" applyFont="1" applyBorder="1"/>
    <xf numFmtId="175" fontId="48" fillId="0" borderId="76" xfId="46" applyNumberFormat="1" applyFont="1" applyBorder="1"/>
    <xf numFmtId="173" fontId="73" fillId="0" borderId="76" xfId="46" applyNumberFormat="1" applyFont="1" applyBorder="1"/>
    <xf numFmtId="2" fontId="48" fillId="0" borderId="76" xfId="46" applyNumberFormat="1" applyFont="1" applyBorder="1"/>
    <xf numFmtId="0" fontId="48" fillId="0" borderId="80" xfId="46" applyFont="1" applyBorder="1"/>
    <xf numFmtId="0" fontId="48" fillId="0" borderId="72" xfId="46" applyFont="1" applyBorder="1"/>
    <xf numFmtId="173" fontId="48" fillId="0" borderId="72" xfId="46" applyNumberFormat="1" applyFont="1" applyBorder="1"/>
    <xf numFmtId="175" fontId="48" fillId="0" borderId="72" xfId="46" applyNumberFormat="1" applyFont="1" applyBorder="1"/>
    <xf numFmtId="0" fontId="48" fillId="0" borderId="35" xfId="46" applyFont="1" applyBorder="1" applyAlignment="1">
      <alignment horizontal="left" indent="1"/>
    </xf>
    <xf numFmtId="43" fontId="48" fillId="0" borderId="72" xfId="28" applyFont="1" applyFill="1" applyBorder="1"/>
    <xf numFmtId="173" fontId="48" fillId="0" borderId="78" xfId="46" applyNumberFormat="1" applyFont="1" applyBorder="1" applyAlignment="1">
      <alignment vertical="center"/>
    </xf>
    <xf numFmtId="175" fontId="48" fillId="0" borderId="78" xfId="46" applyNumberFormat="1" applyFont="1" applyBorder="1" applyAlignment="1">
      <alignment vertical="center"/>
    </xf>
    <xf numFmtId="0" fontId="48" fillId="0" borderId="52" xfId="46" applyFont="1" applyBorder="1" applyAlignment="1">
      <alignment horizontal="left" vertical="center"/>
    </xf>
    <xf numFmtId="0" fontId="48" fillId="0" borderId="78" xfId="46" applyFont="1" applyBorder="1" applyAlignment="1">
      <alignment horizontal="left" vertical="center"/>
    </xf>
    <xf numFmtId="174" fontId="73" fillId="0" borderId="0" xfId="46" applyNumberFormat="1" applyFont="1" applyAlignment="1">
      <alignment wrapText="1"/>
    </xf>
    <xf numFmtId="43" fontId="48" fillId="0" borderId="0" xfId="28" applyFont="1" applyAlignment="1">
      <alignment horizontal="left"/>
    </xf>
    <xf numFmtId="43" fontId="48" fillId="0" borderId="0" xfId="28" applyFont="1" applyFill="1" applyAlignment="1">
      <alignment horizontal="left"/>
    </xf>
    <xf numFmtId="175" fontId="48" fillId="0" borderId="0" xfId="46" applyNumberFormat="1" applyFont="1"/>
    <xf numFmtId="0" fontId="48" fillId="0" borderId="88" xfId="46" applyFont="1" applyBorder="1" applyAlignment="1">
      <alignment horizontal="left" vertical="center"/>
    </xf>
    <xf numFmtId="0" fontId="48" fillId="0" borderId="132" xfId="46" applyFont="1" applyBorder="1" applyAlignment="1">
      <alignment horizontal="left" vertical="center"/>
    </xf>
    <xf numFmtId="43" fontId="48" fillId="22" borderId="86" xfId="28" applyFont="1" applyFill="1" applyBorder="1" applyAlignment="1">
      <alignment horizontal="left" vertical="center"/>
    </xf>
    <xf numFmtId="43" fontId="48" fillId="0" borderId="86" xfId="28" applyFont="1" applyFill="1" applyBorder="1" applyAlignment="1">
      <alignment horizontal="left" vertical="center"/>
    </xf>
    <xf numFmtId="0" fontId="48" fillId="0" borderId="133" xfId="46" applyFont="1" applyBorder="1" applyAlignment="1">
      <alignment horizontal="left" vertical="center" indent="1"/>
    </xf>
    <xf numFmtId="0" fontId="48" fillId="0" borderId="134" xfId="46" applyFont="1" applyBorder="1"/>
    <xf numFmtId="0" fontId="48" fillId="0" borderId="91" xfId="46" applyFont="1" applyBorder="1" applyAlignment="1">
      <alignment horizontal="left" vertical="center" indent="1"/>
    </xf>
    <xf numFmtId="0" fontId="48" fillId="0" borderId="135" xfId="46" applyFont="1" applyBorder="1" applyAlignment="1">
      <alignment horizontal="left" vertical="center" indent="1"/>
    </xf>
    <xf numFmtId="172" fontId="48" fillId="0" borderId="76" xfId="46" quotePrefix="1" applyNumberFormat="1" applyFont="1" applyBorder="1" applyAlignment="1">
      <alignment horizontal="left" vertical="center" indent="1"/>
    </xf>
    <xf numFmtId="0" fontId="48" fillId="0" borderId="87" xfId="46" applyFont="1" applyBorder="1" applyAlignment="1">
      <alignment horizontal="left" vertical="center"/>
    </xf>
    <xf numFmtId="43" fontId="48" fillId="23" borderId="76" xfId="28" applyFont="1" applyFill="1" applyBorder="1" applyAlignment="1">
      <alignment vertical="center"/>
    </xf>
    <xf numFmtId="43" fontId="48" fillId="23" borderId="103" xfId="28" applyFont="1" applyFill="1" applyBorder="1" applyAlignment="1">
      <alignment vertical="center" wrapText="1"/>
    </xf>
    <xf numFmtId="43" fontId="48" fillId="23" borderId="91" xfId="28" applyFont="1" applyFill="1" applyBorder="1" applyAlignment="1">
      <alignment horizontal="left" vertical="center"/>
    </xf>
    <xf numFmtId="0" fontId="48" fillId="0" borderId="86" xfId="46" applyFont="1" applyBorder="1" applyAlignment="1">
      <alignment horizontal="left" vertical="center"/>
    </xf>
    <xf numFmtId="172" fontId="48" fillId="0" borderId="86" xfId="46" applyNumberFormat="1" applyFont="1" applyBorder="1" applyAlignment="1">
      <alignment horizontal="left" vertical="center" indent="1"/>
    </xf>
    <xf numFmtId="0" fontId="48" fillId="0" borderId="86" xfId="46" applyFont="1" applyBorder="1" applyAlignment="1">
      <alignment horizontal="left" vertical="center" indent="1"/>
    </xf>
    <xf numFmtId="49" fontId="48" fillId="0" borderId="15" xfId="0" applyNumberFormat="1" applyFont="1" applyBorder="1" applyAlignment="1" applyProtection="1">
      <alignment horizontal="center" vertical="center"/>
      <protection locked="0"/>
    </xf>
    <xf numFmtId="0" fontId="48" fillId="0" borderId="18" xfId="0" applyFont="1" applyBorder="1" applyAlignment="1" applyProtection="1">
      <alignment horizontal="center" vertical="center"/>
      <protection hidden="1"/>
    </xf>
    <xf numFmtId="0" fontId="48" fillId="0" borderId="0" xfId="0" applyFont="1" applyAlignment="1" applyProtection="1">
      <alignment horizontal="center" vertical="center"/>
      <protection hidden="1"/>
    </xf>
    <xf numFmtId="43" fontId="75" fillId="28" borderId="58" xfId="28" applyFont="1" applyFill="1" applyBorder="1" applyAlignment="1">
      <alignment horizontal="right" vertical="center"/>
    </xf>
    <xf numFmtId="43" fontId="7" fillId="0" borderId="136" xfId="0" applyNumberFormat="1" applyFont="1" applyBorder="1" applyAlignment="1" applyProtection="1">
      <alignment vertical="center"/>
      <protection hidden="1"/>
    </xf>
    <xf numFmtId="43" fontId="7" fillId="0" borderId="137" xfId="0" applyNumberFormat="1" applyFont="1" applyBorder="1" applyAlignment="1" applyProtection="1">
      <alignment vertical="center"/>
      <protection hidden="1"/>
    </xf>
    <xf numFmtId="43" fontId="7" fillId="0" borderId="138" xfId="0" applyNumberFormat="1" applyFont="1" applyBorder="1" applyAlignment="1" applyProtection="1">
      <alignment vertical="center"/>
      <protection hidden="1"/>
    </xf>
    <xf numFmtId="43" fontId="7" fillId="0" borderId="139" xfId="0" applyNumberFormat="1" applyFont="1" applyBorder="1" applyAlignment="1" applyProtection="1">
      <alignment vertical="center"/>
      <protection hidden="1"/>
    </xf>
    <xf numFmtId="43" fontId="7" fillId="0" borderId="136" xfId="57" applyBorder="1" applyAlignment="1" applyProtection="1">
      <alignment vertical="center"/>
      <protection hidden="1"/>
    </xf>
    <xf numFmtId="43" fontId="68" fillId="24" borderId="58" xfId="28" applyFont="1" applyFill="1" applyBorder="1" applyAlignment="1">
      <alignment horizontal="right" vertical="center"/>
    </xf>
    <xf numFmtId="43" fontId="13" fillId="24" borderId="33" xfId="28" applyFont="1" applyFill="1" applyBorder="1" applyAlignment="1" applyProtection="1">
      <alignment vertical="center"/>
      <protection hidden="1"/>
    </xf>
    <xf numFmtId="43" fontId="31" fillId="20" borderId="122" xfId="28" applyFont="1" applyFill="1" applyBorder="1" applyAlignment="1" applyProtection="1">
      <alignment vertical="center"/>
      <protection hidden="1"/>
    </xf>
    <xf numFmtId="43" fontId="31" fillId="0" borderId="122" xfId="28" applyFont="1" applyFill="1" applyBorder="1" applyAlignment="1">
      <alignment vertical="center"/>
    </xf>
    <xf numFmtId="43" fontId="31" fillId="0" borderId="122" xfId="28" applyFont="1" applyFill="1" applyBorder="1" applyAlignment="1"/>
    <xf numFmtId="43" fontId="31" fillId="0" borderId="144" xfId="28" applyFont="1" applyFill="1" applyBorder="1" applyAlignment="1" applyProtection="1">
      <alignment vertical="center"/>
      <protection hidden="1"/>
    </xf>
    <xf numFmtId="0" fontId="48" fillId="0" borderId="0" xfId="0" applyFont="1" applyAlignment="1">
      <alignment horizontal="center" vertical="center"/>
    </xf>
    <xf numFmtId="43" fontId="31" fillId="25" borderId="28" xfId="28" applyFont="1" applyFill="1" applyBorder="1" applyAlignment="1" applyProtection="1">
      <alignment vertical="center"/>
    </xf>
    <xf numFmtId="43" fontId="56" fillId="0" borderId="0" xfId="28" applyFont="1" applyFill="1" applyAlignment="1" applyProtection="1">
      <alignment vertical="center"/>
    </xf>
    <xf numFmtId="168" fontId="43" fillId="0" borderId="0" xfId="0" applyNumberFormat="1" applyFont="1" applyAlignment="1">
      <alignment horizontal="center"/>
    </xf>
    <xf numFmtId="43" fontId="31" fillId="0" borderId="24" xfId="28" applyFont="1" applyFill="1" applyBorder="1" applyAlignment="1" applyProtection="1">
      <alignment horizontal="left" vertical="center"/>
      <protection hidden="1"/>
    </xf>
    <xf numFmtId="15" fontId="48" fillId="0" borderId="15" xfId="37" applyNumberFormat="1" applyFont="1" applyFill="1" applyBorder="1" applyAlignment="1" applyProtection="1">
      <alignment horizontal="left" vertical="center" indent="1"/>
      <protection locked="0"/>
    </xf>
    <xf numFmtId="39" fontId="31" fillId="0" borderId="15" xfId="28" applyNumberFormat="1" applyFont="1" applyFill="1" applyBorder="1" applyAlignment="1" applyProtection="1">
      <alignment horizontal="left" vertical="center" indent="1"/>
      <protection hidden="1"/>
    </xf>
    <xf numFmtId="0" fontId="31" fillId="0" borderId="15" xfId="0" applyFont="1" applyBorder="1" applyAlignment="1" applyProtection="1">
      <alignment horizontal="left" vertical="center" indent="1"/>
      <protection locked="0"/>
    </xf>
    <xf numFmtId="166" fontId="31" fillId="0" borderId="0" xfId="28" applyNumberFormat="1" applyFont="1" applyFill="1" applyBorder="1" applyAlignment="1">
      <alignment vertical="center"/>
    </xf>
    <xf numFmtId="43" fontId="31" fillId="0" borderId="20" xfId="28" applyFont="1" applyFill="1" applyBorder="1" applyAlignment="1">
      <alignment vertical="center"/>
    </xf>
    <xf numFmtId="43" fontId="38" fillId="0" borderId="20" xfId="28" applyFont="1" applyFill="1" applyBorder="1" applyAlignment="1">
      <alignment vertical="center"/>
    </xf>
    <xf numFmtId="43" fontId="31" fillId="0" borderId="20" xfId="28" applyFont="1" applyFill="1" applyBorder="1" applyAlignment="1" applyProtection="1">
      <alignment vertical="center"/>
      <protection hidden="1"/>
    </xf>
    <xf numFmtId="43" fontId="31" fillId="0" borderId="145" xfId="28" applyFont="1" applyFill="1" applyBorder="1" applyAlignment="1">
      <alignment vertical="center"/>
    </xf>
    <xf numFmtId="43" fontId="32" fillId="0" borderId="123" xfId="28" applyFont="1" applyBorder="1" applyAlignment="1">
      <alignment horizontal="center" vertical="center" wrapText="1"/>
    </xf>
    <xf numFmtId="43" fontId="31" fillId="0" borderId="152" xfId="28" applyFont="1" applyFill="1" applyBorder="1" applyAlignment="1">
      <alignment vertical="center"/>
    </xf>
    <xf numFmtId="43" fontId="31" fillId="0" borderId="153" xfId="28" applyFont="1" applyFill="1" applyBorder="1" applyAlignment="1">
      <alignment vertical="center"/>
    </xf>
    <xf numFmtId="43" fontId="31" fillId="22" borderId="154" xfId="28" applyFont="1" applyFill="1" applyBorder="1" applyAlignment="1" applyProtection="1">
      <alignment vertical="center"/>
      <protection hidden="1"/>
    </xf>
    <xf numFmtId="43" fontId="31" fillId="0" borderId="152" xfId="28" applyFont="1" applyFill="1" applyBorder="1" applyAlignment="1" applyProtection="1">
      <alignment vertical="center"/>
      <protection hidden="1"/>
    </xf>
    <xf numFmtId="43" fontId="31" fillId="0" borderId="14" xfId="28" applyFont="1" applyFill="1" applyBorder="1" applyAlignment="1">
      <alignment vertical="center"/>
    </xf>
    <xf numFmtId="43" fontId="13" fillId="25" borderId="14" xfId="28" applyFont="1" applyFill="1" applyBorder="1" applyAlignment="1" applyProtection="1">
      <alignment horizontal="center" vertical="center" wrapText="1"/>
      <protection locked="0"/>
    </xf>
    <xf numFmtId="43" fontId="31" fillId="25" borderId="155" xfId="28" applyFont="1" applyFill="1" applyBorder="1" applyAlignment="1" applyProtection="1">
      <alignment vertical="center"/>
      <protection locked="0"/>
    </xf>
    <xf numFmtId="43" fontId="31" fillId="25" borderId="155" xfId="28" applyFont="1" applyFill="1" applyBorder="1" applyAlignment="1" applyProtection="1">
      <alignment vertical="center"/>
    </xf>
    <xf numFmtId="43" fontId="32" fillId="25" borderId="156" xfId="28" applyFont="1" applyFill="1" applyBorder="1" applyAlignment="1" applyProtection="1">
      <alignment vertical="center"/>
    </xf>
    <xf numFmtId="43" fontId="31" fillId="0" borderId="73" xfId="28" applyFont="1" applyFill="1" applyBorder="1" applyAlignment="1" applyProtection="1">
      <alignment vertical="center"/>
      <protection locked="0"/>
    </xf>
    <xf numFmtId="43" fontId="13" fillId="25" borderId="161" xfId="28" applyFont="1" applyFill="1" applyBorder="1" applyAlignment="1" applyProtection="1">
      <alignment vertical="center"/>
      <protection locked="0"/>
    </xf>
    <xf numFmtId="43" fontId="13" fillId="25" borderId="155" xfId="28" applyFont="1" applyFill="1" applyBorder="1" applyAlignment="1" applyProtection="1">
      <alignment vertical="center"/>
      <protection locked="0"/>
    </xf>
    <xf numFmtId="43" fontId="13" fillId="25" borderId="162" xfId="28" applyFont="1" applyFill="1" applyBorder="1" applyAlignment="1" applyProtection="1">
      <alignment vertical="center"/>
      <protection locked="0"/>
    </xf>
    <xf numFmtId="43" fontId="13" fillId="25" borderId="158" xfId="28" applyFont="1" applyFill="1" applyBorder="1" applyAlignment="1" applyProtection="1">
      <alignment vertical="center"/>
      <protection locked="0"/>
    </xf>
    <xf numFmtId="43" fontId="13" fillId="25" borderId="160" xfId="28" applyFont="1" applyFill="1" applyBorder="1" applyAlignment="1" applyProtection="1">
      <alignment vertical="center"/>
    </xf>
    <xf numFmtId="43" fontId="13" fillId="25" borderId="157" xfId="28" applyFont="1" applyFill="1" applyBorder="1" applyAlignment="1" applyProtection="1">
      <alignment vertical="center"/>
      <protection locked="0"/>
    </xf>
    <xf numFmtId="43" fontId="13" fillId="20" borderId="163" xfId="28" applyFont="1" applyFill="1" applyBorder="1" applyAlignment="1" applyProtection="1">
      <alignment vertical="center"/>
    </xf>
    <xf numFmtId="43" fontId="36" fillId="25" borderId="155" xfId="28" applyFont="1" applyFill="1" applyBorder="1" applyAlignment="1" applyProtection="1">
      <alignment vertical="center"/>
      <protection locked="0"/>
    </xf>
    <xf numFmtId="43" fontId="37" fillId="25" borderId="155" xfId="28" applyFont="1" applyFill="1" applyBorder="1" applyAlignment="1" applyProtection="1"/>
    <xf numFmtId="0" fontId="48" fillId="0" borderId="89" xfId="46" applyFont="1" applyBorder="1" applyAlignment="1">
      <alignment horizontal="left" vertical="center" wrapText="1"/>
    </xf>
    <xf numFmtId="0" fontId="48" fillId="0" borderId="22" xfId="46" applyFont="1" applyBorder="1" applyAlignment="1">
      <alignment vertical="center"/>
    </xf>
    <xf numFmtId="173" fontId="48" fillId="0" borderId="103" xfId="46" applyNumberFormat="1" applyFont="1" applyBorder="1" applyAlignment="1">
      <alignment vertical="center"/>
    </xf>
    <xf numFmtId="0" fontId="48" fillId="0" borderId="101" xfId="46" applyFont="1" applyBorder="1" applyAlignment="1">
      <alignment vertical="center" wrapText="1"/>
    </xf>
    <xf numFmtId="0" fontId="48" fillId="0" borderId="76" xfId="46" applyFont="1" applyBorder="1" applyAlignment="1">
      <alignment vertical="center" wrapText="1"/>
    </xf>
    <xf numFmtId="43" fontId="48" fillId="26" borderId="0" xfId="28" applyFont="1" applyFill="1" applyBorder="1" applyAlignment="1">
      <alignment vertical="center" wrapText="1"/>
    </xf>
    <xf numFmtId="0" fontId="48" fillId="26" borderId="103" xfId="46" applyFont="1" applyFill="1" applyBorder="1" applyAlignment="1">
      <alignment horizontal="left" vertical="center"/>
    </xf>
    <xf numFmtId="174" fontId="48" fillId="26" borderId="14" xfId="46" applyNumberFormat="1" applyFont="1" applyFill="1" applyBorder="1" applyAlignment="1">
      <alignment vertical="center"/>
    </xf>
    <xf numFmtId="43" fontId="48" fillId="26" borderId="41" xfId="28" applyFont="1" applyFill="1" applyBorder="1" applyAlignment="1">
      <alignment vertical="center" wrapText="1"/>
    </xf>
    <xf numFmtId="0" fontId="48" fillId="26" borderId="41" xfId="46" applyFont="1" applyFill="1" applyBorder="1" applyAlignment="1">
      <alignment horizontal="left" vertical="center"/>
    </xf>
    <xf numFmtId="0" fontId="48" fillId="26" borderId="73" xfId="46" applyFont="1" applyFill="1" applyBorder="1" applyAlignment="1">
      <alignment vertical="center" wrapText="1"/>
    </xf>
    <xf numFmtId="0" fontId="48" fillId="26" borderId="76" xfId="46" applyFont="1" applyFill="1" applyBorder="1" applyAlignment="1">
      <alignment horizontal="left" vertical="center"/>
    </xf>
    <xf numFmtId="0" fontId="48" fillId="26" borderId="76" xfId="46" applyFont="1" applyFill="1" applyBorder="1" applyAlignment="1">
      <alignment horizontal="left" vertical="center" indent="1"/>
    </xf>
    <xf numFmtId="43" fontId="48" fillId="26" borderId="76" xfId="28" applyFont="1" applyFill="1" applyBorder="1" applyAlignment="1">
      <alignment vertical="center"/>
    </xf>
    <xf numFmtId="0" fontId="48" fillId="26" borderId="0" xfId="46" applyFont="1" applyFill="1" applyAlignment="1">
      <alignment horizontal="left" vertical="center" wrapText="1" indent="1"/>
    </xf>
    <xf numFmtId="43" fontId="48" fillId="0" borderId="0" xfId="46" applyNumberFormat="1" applyFont="1" applyAlignment="1">
      <alignment horizontal="left" wrapText="1"/>
    </xf>
    <xf numFmtId="0" fontId="48" fillId="24" borderId="76" xfId="46" applyFont="1" applyFill="1" applyBorder="1" applyAlignment="1">
      <alignment horizontal="left" vertical="center"/>
    </xf>
    <xf numFmtId="0" fontId="48" fillId="24" borderId="76" xfId="46" applyFont="1" applyFill="1" applyBorder="1" applyAlignment="1">
      <alignment horizontal="left" vertical="center" indent="1"/>
    </xf>
    <xf numFmtId="43" fontId="48" fillId="24" borderId="103" xfId="28" applyFont="1" applyFill="1" applyBorder="1" applyAlignment="1">
      <alignment vertical="center"/>
    </xf>
    <xf numFmtId="43" fontId="48" fillId="24" borderId="76" xfId="28" applyFont="1" applyFill="1" applyBorder="1" applyAlignment="1">
      <alignment vertical="center"/>
    </xf>
    <xf numFmtId="0" fontId="48" fillId="24" borderId="0" xfId="46" applyFont="1" applyFill="1" applyAlignment="1">
      <alignment horizontal="left" vertical="center" wrapText="1" indent="1"/>
    </xf>
    <xf numFmtId="0" fontId="76" fillId="0" borderId="75" xfId="46" applyFont="1" applyBorder="1" applyAlignment="1">
      <alignment horizontal="left" vertical="center"/>
    </xf>
    <xf numFmtId="0" fontId="76" fillId="0" borderId="76" xfId="46" applyFont="1" applyBorder="1" applyAlignment="1">
      <alignment horizontal="left" vertical="center"/>
    </xf>
    <xf numFmtId="0" fontId="76" fillId="0" borderId="76" xfId="46" applyFont="1" applyBorder="1"/>
    <xf numFmtId="0" fontId="76" fillId="0" borderId="76" xfId="46" applyFont="1" applyBorder="1" applyAlignment="1">
      <alignment horizontal="left" vertical="center" indent="1"/>
    </xf>
    <xf numFmtId="43" fontId="76" fillId="22" borderId="76" xfId="28" applyFont="1" applyFill="1" applyBorder="1" applyAlignment="1">
      <alignment vertical="center"/>
    </xf>
    <xf numFmtId="43" fontId="76" fillId="0" borderId="76" xfId="28" applyFont="1" applyFill="1" applyBorder="1" applyAlignment="1">
      <alignment vertical="center"/>
    </xf>
    <xf numFmtId="0" fontId="76" fillId="0" borderId="88" xfId="46" applyFont="1" applyBorder="1" applyAlignment="1">
      <alignment horizontal="left" vertical="center" wrapText="1"/>
    </xf>
    <xf numFmtId="0" fontId="76" fillId="0" borderId="82" xfId="46" applyFont="1" applyBorder="1" applyAlignment="1">
      <alignment horizontal="left" vertical="center"/>
    </xf>
    <xf numFmtId="0" fontId="76" fillId="0" borderId="83" xfId="46" applyFont="1" applyBorder="1" applyAlignment="1">
      <alignment horizontal="left" vertical="center"/>
    </xf>
    <xf numFmtId="0" fontId="76" fillId="0" borderId="83" xfId="46" applyFont="1" applyBorder="1" applyAlignment="1">
      <alignment horizontal="left" vertical="center" indent="1"/>
    </xf>
    <xf numFmtId="43" fontId="76" fillId="22" borderId="83" xfId="28" applyFont="1" applyFill="1" applyBorder="1" applyAlignment="1">
      <alignment vertical="center"/>
    </xf>
    <xf numFmtId="43" fontId="76" fillId="0" borderId="83" xfId="28" applyFont="1" applyFill="1" applyBorder="1" applyAlignment="1">
      <alignment vertical="center"/>
    </xf>
    <xf numFmtId="0" fontId="76" fillId="0" borderId="85" xfId="46" applyFont="1" applyBorder="1" applyAlignment="1">
      <alignment horizontal="left" vertical="center" wrapText="1"/>
    </xf>
    <xf numFmtId="0" fontId="48" fillId="0" borderId="164" xfId="46" applyFont="1" applyBorder="1" applyAlignment="1">
      <alignment horizontal="left" vertical="center" indent="1"/>
    </xf>
    <xf numFmtId="0" fontId="48" fillId="0" borderId="165" xfId="46" applyFont="1" applyBorder="1" applyAlignment="1">
      <alignment horizontal="left" vertical="center"/>
    </xf>
    <xf numFmtId="0" fontId="48" fillId="0" borderId="166" xfId="46" applyFont="1" applyBorder="1" applyAlignment="1">
      <alignment horizontal="left" vertical="center"/>
    </xf>
    <xf numFmtId="172" fontId="48" fillId="0" borderId="166" xfId="46" applyNumberFormat="1" applyFont="1" applyBorder="1" applyAlignment="1">
      <alignment horizontal="left" vertical="center" indent="1"/>
    </xf>
    <xf numFmtId="0" fontId="48" fillId="0" borderId="166" xfId="46" applyFont="1" applyBorder="1" applyAlignment="1">
      <alignment horizontal="left" vertical="center" indent="1"/>
    </xf>
    <xf numFmtId="43" fontId="48" fillId="0" borderId="166" xfId="28" applyFont="1" applyFill="1" applyBorder="1" applyAlignment="1">
      <alignment horizontal="left" vertical="center"/>
    </xf>
    <xf numFmtId="43" fontId="48" fillId="23" borderId="166" xfId="28" applyFont="1" applyFill="1" applyBorder="1" applyAlignment="1">
      <alignment horizontal="left" vertical="center"/>
    </xf>
    <xf numFmtId="0" fontId="48" fillId="26" borderId="168" xfId="46" applyFont="1" applyFill="1" applyBorder="1" applyAlignment="1">
      <alignment vertical="center"/>
    </xf>
    <xf numFmtId="0" fontId="48" fillId="26" borderId="167" xfId="46" applyFont="1" applyFill="1" applyBorder="1"/>
    <xf numFmtId="0" fontId="48" fillId="0" borderId="168" xfId="46" applyFont="1" applyBorder="1" applyAlignment="1">
      <alignment vertical="center"/>
    </xf>
    <xf numFmtId="43" fontId="48" fillId="26" borderId="168" xfId="28" applyFont="1" applyFill="1" applyBorder="1" applyAlignment="1">
      <alignment vertical="center" wrapText="1"/>
    </xf>
    <xf numFmtId="0" fontId="48" fillId="29" borderId="86" xfId="46" applyFont="1" applyFill="1" applyBorder="1" applyAlignment="1">
      <alignment horizontal="left" vertical="center"/>
    </xf>
    <xf numFmtId="172" fontId="48" fillId="29" borderId="86" xfId="46" applyNumberFormat="1" applyFont="1" applyFill="1" applyBorder="1" applyAlignment="1">
      <alignment horizontal="left" vertical="center" indent="1"/>
    </xf>
    <xf numFmtId="0" fontId="48" fillId="29" borderId="86" xfId="46" applyFont="1" applyFill="1" applyBorder="1" applyAlignment="1">
      <alignment horizontal="left" vertical="center" indent="1"/>
    </xf>
    <xf numFmtId="173" fontId="73" fillId="0" borderId="76" xfId="46" applyNumberFormat="1" applyFont="1" applyBorder="1" applyAlignment="1">
      <alignment vertical="center"/>
    </xf>
    <xf numFmtId="2" fontId="48" fillId="0" borderId="76" xfId="46" applyNumberFormat="1" applyFont="1" applyBorder="1" applyAlignment="1">
      <alignment vertical="center"/>
    </xf>
    <xf numFmtId="173" fontId="48" fillId="0" borderId="14" xfId="46" applyNumberFormat="1" applyFont="1" applyBorder="1" applyAlignment="1">
      <alignment vertical="center"/>
    </xf>
    <xf numFmtId="173" fontId="48" fillId="0" borderId="96" xfId="46" applyNumberFormat="1" applyFont="1" applyBorder="1" applyAlignment="1">
      <alignment vertical="center"/>
    </xf>
    <xf numFmtId="175" fontId="73" fillId="0" borderId="96" xfId="46" applyNumberFormat="1" applyFont="1" applyBorder="1" applyAlignment="1">
      <alignment vertical="center" wrapText="1"/>
    </xf>
    <xf numFmtId="0" fontId="48" fillId="0" borderId="11" xfId="46" applyFont="1" applyBorder="1" applyAlignment="1">
      <alignment horizontal="left" vertical="center"/>
    </xf>
    <xf numFmtId="0" fontId="48" fillId="0" borderId="96" xfId="46" applyFont="1" applyBorder="1" applyAlignment="1">
      <alignment horizontal="left" vertical="center"/>
    </xf>
    <xf numFmtId="0" fontId="48" fillId="0" borderId="12" xfId="46" applyFont="1" applyBorder="1" applyAlignment="1">
      <alignment vertical="center"/>
    </xf>
    <xf numFmtId="173" fontId="73" fillId="0" borderId="103" xfId="46" applyNumberFormat="1" applyFont="1" applyBorder="1" applyAlignment="1">
      <alignment vertical="center"/>
    </xf>
    <xf numFmtId="0" fontId="72" fillId="0" borderId="76" xfId="46" applyFont="1" applyBorder="1" applyAlignment="1">
      <alignment vertical="center"/>
    </xf>
    <xf numFmtId="43" fontId="32" fillId="0" borderId="0" xfId="28" applyFont="1" applyFill="1" applyAlignment="1">
      <alignment horizontal="right" vertical="center"/>
    </xf>
    <xf numFmtId="43" fontId="13" fillId="25" borderId="158" xfId="28" applyFont="1" applyFill="1" applyBorder="1" applyAlignment="1" applyProtection="1">
      <alignment horizontal="left" vertical="center" indent="1"/>
      <protection locked="0"/>
    </xf>
    <xf numFmtId="3" fontId="31" fillId="0" borderId="0" xfId="0" applyNumberFormat="1" applyFont="1" applyAlignment="1">
      <alignment horizontal="left" vertical="center"/>
    </xf>
    <xf numFmtId="3" fontId="31" fillId="0" borderId="0" xfId="0" applyNumberFormat="1" applyFont="1" applyAlignment="1">
      <alignment horizontal="left" vertical="center" wrapText="1"/>
    </xf>
    <xf numFmtId="43" fontId="7" fillId="0" borderId="0" xfId="50" applyFont="1" applyAlignment="1">
      <alignment vertical="center"/>
    </xf>
    <xf numFmtId="0" fontId="31" fillId="0" borderId="46" xfId="46" applyFont="1" applyBorder="1" applyAlignment="1">
      <alignment horizontal="left" vertical="center" wrapText="1"/>
    </xf>
    <xf numFmtId="0" fontId="31" fillId="0" borderId="0" xfId="46" applyFont="1" applyAlignment="1">
      <alignment horizontal="center" vertical="center" wrapText="1"/>
    </xf>
    <xf numFmtId="2" fontId="32" fillId="0" borderId="0" xfId="46" applyNumberFormat="1" applyFont="1" applyAlignment="1">
      <alignment vertical="center"/>
    </xf>
    <xf numFmtId="0" fontId="31" fillId="0" borderId="0" xfId="46" applyFont="1" applyAlignment="1">
      <alignment vertical="center"/>
    </xf>
    <xf numFmtId="0" fontId="31" fillId="0" borderId="119" xfId="46" applyFont="1" applyBorder="1" applyAlignment="1">
      <alignment vertical="center" wrapText="1"/>
    </xf>
    <xf numFmtId="0" fontId="31" fillId="0" borderId="107" xfId="46" applyFont="1" applyBorder="1" applyAlignment="1">
      <alignment vertical="center" wrapText="1"/>
    </xf>
    <xf numFmtId="176" fontId="31" fillId="0" borderId="35" xfId="46" applyNumberFormat="1" applyFont="1" applyBorder="1" applyAlignment="1">
      <alignment horizontal="center" vertical="center"/>
    </xf>
    <xf numFmtId="166" fontId="31" fillId="0" borderId="35" xfId="46" applyNumberFormat="1" applyFont="1" applyBorder="1" applyAlignment="1">
      <alignment horizontal="center" vertical="center"/>
    </xf>
    <xf numFmtId="0" fontId="31" fillId="0" borderId="46" xfId="46" applyFont="1" applyBorder="1" applyAlignment="1">
      <alignment horizontal="center" vertical="center"/>
    </xf>
    <xf numFmtId="0" fontId="31" fillId="0" borderId="104" xfId="46" applyFont="1" applyBorder="1" applyAlignment="1">
      <alignment horizontal="center" vertical="center" wrapText="1"/>
    </xf>
    <xf numFmtId="0" fontId="31" fillId="0" borderId="35" xfId="46" applyFont="1" applyBorder="1" applyAlignment="1">
      <alignment horizontal="center" vertical="center" wrapText="1"/>
    </xf>
    <xf numFmtId="0" fontId="31" fillId="0" borderId="35" xfId="46" applyFont="1" applyBorder="1" applyAlignment="1">
      <alignment horizontal="center" vertical="center"/>
    </xf>
    <xf numFmtId="0" fontId="31" fillId="0" borderId="35" xfId="46" quotePrefix="1" applyFont="1" applyBorder="1" applyAlignment="1">
      <alignment horizontal="center" vertical="center"/>
    </xf>
    <xf numFmtId="0" fontId="31" fillId="0" borderId="57" xfId="46" applyFont="1" applyBorder="1" applyAlignment="1">
      <alignment horizontal="center" vertical="center"/>
    </xf>
    <xf numFmtId="0" fontId="31" fillId="0" borderId="55" xfId="46" applyFont="1" applyBorder="1" applyAlignment="1">
      <alignment horizontal="center" vertical="center" wrapText="1"/>
    </xf>
    <xf numFmtId="166" fontId="31" fillId="0" borderId="107" xfId="50" applyNumberFormat="1" applyFont="1" applyBorder="1" applyAlignment="1">
      <alignment horizontal="right" vertical="center"/>
    </xf>
    <xf numFmtId="0" fontId="31" fillId="0" borderId="106" xfId="46" applyFont="1" applyBorder="1" applyAlignment="1">
      <alignment vertical="center" wrapText="1"/>
    </xf>
    <xf numFmtId="0" fontId="31" fillId="0" borderId="105" xfId="46" applyFont="1" applyBorder="1" applyAlignment="1">
      <alignment horizontal="center" vertical="center" wrapText="1"/>
    </xf>
    <xf numFmtId="0" fontId="31" fillId="0" borderId="140" xfId="46" applyFont="1" applyBorder="1" applyAlignment="1">
      <alignment vertical="center" wrapText="1"/>
    </xf>
    <xf numFmtId="43" fontId="31" fillId="0" borderId="118" xfId="50" applyFont="1" applyFill="1" applyBorder="1" applyAlignment="1">
      <alignment vertical="center"/>
    </xf>
    <xf numFmtId="0" fontId="31" fillId="0" borderId="121" xfId="46" applyFont="1" applyBorder="1" applyAlignment="1">
      <alignment vertical="center" wrapText="1"/>
    </xf>
    <xf numFmtId="2" fontId="31" fillId="0" borderId="111" xfId="46" applyNumberFormat="1" applyFont="1" applyBorder="1" applyAlignment="1">
      <alignment vertical="center"/>
    </xf>
    <xf numFmtId="2" fontId="31" fillId="0" borderId="110" xfId="46" applyNumberFormat="1" applyFont="1" applyBorder="1" applyAlignment="1">
      <alignment vertical="center"/>
    </xf>
    <xf numFmtId="43" fontId="69" fillId="28" borderId="30" xfId="55" applyFont="1" applyFill="1" applyBorder="1" applyAlignment="1" applyProtection="1">
      <alignment horizontal="center" vertical="center" wrapText="1"/>
      <protection hidden="1"/>
    </xf>
    <xf numFmtId="43" fontId="68" fillId="28" borderId="41" xfId="55" applyFont="1" applyFill="1" applyBorder="1" applyAlignment="1" applyProtection="1">
      <alignment horizontal="center" vertical="center" wrapText="1"/>
      <protection hidden="1"/>
    </xf>
    <xf numFmtId="43" fontId="69" fillId="28" borderId="28" xfId="55" applyFont="1" applyFill="1" applyBorder="1" applyAlignment="1" applyProtection="1">
      <alignment vertical="center"/>
      <protection hidden="1"/>
    </xf>
    <xf numFmtId="43" fontId="68" fillId="28" borderId="172" xfId="55" applyFont="1" applyFill="1" applyBorder="1" applyAlignment="1" applyProtection="1">
      <alignment horizontal="center" vertical="center" wrapText="1"/>
      <protection hidden="1"/>
    </xf>
    <xf numFmtId="43" fontId="68" fillId="24" borderId="174" xfId="28" applyFont="1" applyFill="1" applyBorder="1" applyAlignment="1" applyProtection="1">
      <alignment vertical="center"/>
      <protection hidden="1"/>
    </xf>
    <xf numFmtId="43" fontId="69" fillId="28" borderId="174" xfId="55" applyFont="1" applyFill="1" applyBorder="1" applyAlignment="1" applyProtection="1">
      <alignment vertical="center"/>
      <protection hidden="1"/>
    </xf>
    <xf numFmtId="43" fontId="55" fillId="24" borderId="0" xfId="28" applyFont="1" applyFill="1" applyBorder="1" applyAlignment="1">
      <alignment vertical="center"/>
    </xf>
    <xf numFmtId="0" fontId="31" fillId="0" borderId="175" xfId="0" applyFont="1" applyBorder="1" applyAlignment="1">
      <alignment horizontal="left" vertical="center"/>
    </xf>
    <xf numFmtId="0" fontId="31" fillId="0" borderId="176" xfId="0" applyFont="1" applyBorder="1" applyAlignment="1">
      <alignment horizontal="left" vertical="center"/>
    </xf>
    <xf numFmtId="0" fontId="34" fillId="0" borderId="176" xfId="0" applyFont="1" applyBorder="1" applyAlignment="1">
      <alignment horizontal="left" vertical="center"/>
    </xf>
    <xf numFmtId="0" fontId="31" fillId="0" borderId="176" xfId="0" applyFont="1" applyBorder="1" applyAlignment="1">
      <alignment horizontal="left" vertical="center" wrapText="1"/>
    </xf>
    <xf numFmtId="0" fontId="34" fillId="0" borderId="177" xfId="0" applyFont="1" applyBorder="1" applyAlignment="1">
      <alignment horizontal="left" vertical="center"/>
    </xf>
    <xf numFmtId="0" fontId="35" fillId="0" borderId="176" xfId="0" applyFont="1" applyBorder="1" applyAlignment="1">
      <alignment horizontal="right" vertical="center"/>
    </xf>
    <xf numFmtId="43" fontId="32" fillId="0" borderId="178" xfId="28" applyFont="1" applyBorder="1" applyAlignment="1">
      <alignment horizontal="center" vertical="center" wrapText="1"/>
    </xf>
    <xf numFmtId="164" fontId="31" fillId="0" borderId="179" xfId="51" applyNumberFormat="1" applyFont="1" applyFill="1" applyBorder="1" applyAlignment="1" applyProtection="1">
      <alignment vertical="center"/>
      <protection hidden="1"/>
    </xf>
    <xf numFmtId="43" fontId="31" fillId="0" borderId="179" xfId="51" applyFont="1" applyFill="1" applyBorder="1" applyAlignment="1" applyProtection="1">
      <alignment vertical="center"/>
      <protection hidden="1"/>
    </xf>
    <xf numFmtId="43" fontId="32" fillId="0" borderId="180" xfId="28" applyFont="1" applyBorder="1" applyAlignment="1">
      <alignment horizontal="center" vertical="center" wrapText="1"/>
    </xf>
    <xf numFmtId="43" fontId="31" fillId="0" borderId="62" xfId="28" applyFont="1" applyBorder="1" applyAlignment="1">
      <alignment vertical="center"/>
    </xf>
    <xf numFmtId="43" fontId="31" fillId="0" borderId="179" xfId="28" applyFont="1" applyFill="1" applyBorder="1" applyAlignment="1" applyProtection="1">
      <alignment vertical="center"/>
      <protection hidden="1"/>
    </xf>
    <xf numFmtId="166" fontId="33" fillId="27" borderId="15" xfId="28" applyNumberFormat="1" applyFont="1" applyFill="1" applyBorder="1" applyAlignment="1" applyProtection="1">
      <alignment horizontal="left" vertical="center"/>
      <protection locked="0"/>
    </xf>
    <xf numFmtId="49" fontId="31" fillId="0" borderId="15" xfId="28" applyNumberFormat="1" applyFont="1" applyFill="1" applyBorder="1" applyAlignment="1" applyProtection="1">
      <alignment horizontal="left" vertical="center"/>
      <protection locked="0"/>
    </xf>
    <xf numFmtId="15" fontId="31" fillId="0" borderId="13" xfId="0" applyNumberFormat="1" applyFont="1" applyBorder="1" applyAlignment="1" applyProtection="1">
      <alignment vertical="center"/>
      <protection locked="0"/>
    </xf>
    <xf numFmtId="49" fontId="66" fillId="0" borderId="15" xfId="0" applyNumberFormat="1" applyFont="1" applyBorder="1" applyAlignment="1" applyProtection="1">
      <alignment horizontal="center" vertical="center"/>
      <protection locked="0"/>
    </xf>
    <xf numFmtId="0" fontId="52" fillId="0" borderId="16" xfId="0" applyFont="1" applyBorder="1" applyAlignment="1">
      <alignment horizontal="center" vertical="center" wrapText="1"/>
    </xf>
    <xf numFmtId="0" fontId="52" fillId="24" borderId="16" xfId="0" applyFont="1" applyFill="1" applyBorder="1" applyAlignment="1">
      <alignment horizontal="center" vertical="center" wrapText="1"/>
    </xf>
    <xf numFmtId="15" fontId="31" fillId="24" borderId="13" xfId="0" applyNumberFormat="1" applyFont="1" applyFill="1" applyBorder="1" applyAlignment="1" applyProtection="1">
      <alignment vertical="center"/>
      <protection locked="0"/>
    </xf>
    <xf numFmtId="49" fontId="66" fillId="24" borderId="15" xfId="0" applyNumberFormat="1" applyFont="1" applyFill="1" applyBorder="1" applyAlignment="1" applyProtection="1">
      <alignment horizontal="center" vertical="center"/>
      <protection locked="0"/>
    </xf>
    <xf numFmtId="43" fontId="31" fillId="24" borderId="15" xfId="28" applyFont="1" applyFill="1" applyBorder="1" applyAlignment="1" applyProtection="1">
      <alignment horizontal="left" vertical="center"/>
      <protection locked="0"/>
    </xf>
    <xf numFmtId="43" fontId="31" fillId="0" borderId="15" xfId="28" applyFont="1" applyFill="1" applyBorder="1" applyAlignment="1" applyProtection="1">
      <alignment vertical="center"/>
      <protection locked="0"/>
    </xf>
    <xf numFmtId="49" fontId="31" fillId="24" borderId="15" xfId="0" applyNumberFormat="1" applyFont="1" applyFill="1" applyBorder="1" applyAlignment="1" applyProtection="1">
      <alignment horizontal="left" vertical="center"/>
      <protection locked="0"/>
    </xf>
    <xf numFmtId="43" fontId="31" fillId="24" borderId="15" xfId="28" applyFont="1" applyFill="1" applyBorder="1" applyAlignment="1" applyProtection="1">
      <alignment vertical="center"/>
      <protection locked="0"/>
    </xf>
    <xf numFmtId="43" fontId="0" fillId="0" borderId="0" xfId="0" applyNumberFormat="1"/>
    <xf numFmtId="4" fontId="43" fillId="0" borderId="0" xfId="0" applyNumberFormat="1" applyFont="1"/>
    <xf numFmtId="180" fontId="48" fillId="24" borderId="76" xfId="46" applyNumberFormat="1" applyFont="1" applyFill="1" applyBorder="1" applyAlignment="1">
      <alignment vertical="center" wrapText="1"/>
    </xf>
    <xf numFmtId="0" fontId="72" fillId="26" borderId="76" xfId="46" applyFont="1" applyFill="1" applyBorder="1" applyAlignment="1">
      <alignment horizontal="right" vertical="center" wrapText="1"/>
    </xf>
    <xf numFmtId="43" fontId="7" fillId="0" borderId="22" xfId="28" applyFont="1" applyBorder="1" applyAlignment="1">
      <alignment horizontal="center" vertical="center"/>
    </xf>
    <xf numFmtId="0" fontId="53" fillId="0" borderId="0" xfId="0" applyFont="1" applyAlignment="1">
      <alignment vertical="center"/>
    </xf>
    <xf numFmtId="0" fontId="7" fillId="0" borderId="0" xfId="0" applyFont="1" applyAlignment="1">
      <alignment horizontal="center" vertical="center" wrapText="1"/>
    </xf>
    <xf numFmtId="0" fontId="53" fillId="0" borderId="0" xfId="0" applyFont="1" applyAlignment="1">
      <alignment horizontal="center" vertical="center" wrapText="1"/>
    </xf>
    <xf numFmtId="0" fontId="53" fillId="0" borderId="0" xfId="0" applyFont="1" applyAlignment="1">
      <alignment horizontal="left" vertical="center"/>
    </xf>
    <xf numFmtId="166" fontId="53" fillId="0" borderId="0" xfId="0" applyNumberFormat="1" applyFont="1" applyAlignment="1">
      <alignment vertical="center"/>
    </xf>
    <xf numFmtId="0" fontId="30" fillId="0" borderId="0" xfId="0" applyFont="1" applyAlignment="1">
      <alignment vertical="center"/>
    </xf>
    <xf numFmtId="43" fontId="30" fillId="0" borderId="0" xfId="0" applyNumberFormat="1" applyFont="1" applyAlignment="1">
      <alignment vertical="center"/>
    </xf>
    <xf numFmtId="43" fontId="30" fillId="0" borderId="0" xfId="47" applyFont="1" applyAlignment="1">
      <alignment vertical="center"/>
    </xf>
    <xf numFmtId="0" fontId="77" fillId="0" borderId="91" xfId="46" applyFont="1" applyBorder="1" applyAlignment="1">
      <alignment horizontal="left" vertical="center" wrapText="1" indent="1"/>
    </xf>
    <xf numFmtId="43" fontId="48" fillId="23" borderId="86" xfId="28" applyFont="1" applyFill="1" applyBorder="1" applyAlignment="1">
      <alignment horizontal="left" vertical="center"/>
    </xf>
    <xf numFmtId="0" fontId="78" fillId="0" borderId="0" xfId="0" applyFont="1"/>
    <xf numFmtId="0" fontId="78" fillId="0" borderId="0" xfId="0" quotePrefix="1" applyFont="1" applyAlignment="1">
      <alignment horizontal="left" vertical="center" wrapText="1"/>
    </xf>
    <xf numFmtId="0" fontId="78" fillId="0" borderId="0" xfId="0" applyFont="1" applyAlignment="1">
      <alignment vertical="center"/>
    </xf>
    <xf numFmtId="0" fontId="78" fillId="0" borderId="0" xfId="0" applyFont="1" applyAlignment="1">
      <alignment horizontal="right" vertical="center" indent="1"/>
    </xf>
    <xf numFmtId="0" fontId="51" fillId="0" borderId="0" xfId="37" applyAlignment="1" applyProtection="1">
      <alignment horizontal="left" vertical="center" indent="1"/>
    </xf>
    <xf numFmtId="0" fontId="48" fillId="0" borderId="0" xfId="37" quotePrefix="1" applyFont="1" applyAlignment="1" applyProtection="1">
      <alignment horizontal="left" vertical="center" wrapText="1"/>
    </xf>
    <xf numFmtId="43" fontId="48" fillId="0" borderId="88" xfId="46" applyNumberFormat="1" applyFont="1" applyBorder="1" applyAlignment="1">
      <alignment horizontal="left" vertical="center"/>
    </xf>
    <xf numFmtId="43" fontId="48" fillId="22" borderId="76" xfId="28" applyFont="1" applyFill="1" applyBorder="1" applyAlignment="1">
      <alignment horizontal="center" vertical="center"/>
    </xf>
    <xf numFmtId="0" fontId="79" fillId="0" borderId="0" xfId="0" applyFont="1"/>
    <xf numFmtId="43" fontId="48" fillId="22" borderId="87" xfId="28" applyFont="1" applyFill="1" applyBorder="1" applyAlignment="1">
      <alignment horizontal="center" vertical="center"/>
    </xf>
    <xf numFmtId="43" fontId="55" fillId="24" borderId="0" xfId="28" applyFont="1" applyFill="1" applyBorder="1" applyAlignment="1" applyProtection="1">
      <alignment vertical="center"/>
      <protection locked="0"/>
    </xf>
    <xf numFmtId="43" fontId="56" fillId="0" borderId="0" xfId="28" applyFont="1" applyBorder="1" applyAlignment="1">
      <alignment vertical="center"/>
    </xf>
    <xf numFmtId="43" fontId="46" fillId="0" borderId="16" xfId="28" applyFont="1" applyFill="1" applyBorder="1" applyAlignment="1" applyProtection="1">
      <alignment horizontal="left" vertical="center"/>
      <protection hidden="1"/>
    </xf>
    <xf numFmtId="0" fontId="80" fillId="0" borderId="176" xfId="0" applyFont="1" applyBorder="1" applyAlignment="1">
      <alignment horizontal="left" vertical="center"/>
    </xf>
    <xf numFmtId="0" fontId="51" fillId="0" borderId="16" xfId="37" quotePrefix="1" applyFill="1" applyBorder="1" applyAlignment="1" applyProtection="1">
      <alignment horizontal="left" vertical="center" indent="1"/>
      <protection locked="0"/>
    </xf>
    <xf numFmtId="15" fontId="51" fillId="24" borderId="15" xfId="37" applyNumberFormat="1" applyFill="1" applyBorder="1" applyAlignment="1" applyProtection="1">
      <alignment horizontal="left" vertical="center" indent="1"/>
      <protection locked="0"/>
    </xf>
    <xf numFmtId="164" fontId="31" fillId="0" borderId="49" xfId="28" applyNumberFormat="1" applyFont="1" applyFill="1" applyBorder="1" applyAlignment="1" applyProtection="1">
      <alignment vertical="center"/>
      <protection hidden="1"/>
    </xf>
    <xf numFmtId="43" fontId="13" fillId="20" borderId="158" xfId="28" applyFont="1" applyFill="1" applyBorder="1" applyAlignment="1" applyProtection="1">
      <alignment vertical="center"/>
    </xf>
    <xf numFmtId="0" fontId="51" fillId="24" borderId="16" xfId="37" applyFill="1" applyBorder="1" applyAlignment="1" applyProtection="1">
      <alignment horizontal="left" vertical="center" indent="1"/>
      <protection locked="0"/>
    </xf>
    <xf numFmtId="0" fontId="51" fillId="0" borderId="16" xfId="37" applyFill="1" applyBorder="1" applyAlignment="1" applyProtection="1">
      <alignment horizontal="left" vertical="center" indent="1"/>
      <protection locked="0"/>
    </xf>
    <xf numFmtId="0" fontId="51" fillId="24" borderId="16" xfId="37" quotePrefix="1" applyFill="1" applyBorder="1" applyAlignment="1" applyProtection="1">
      <alignment horizontal="left" vertical="center" indent="1"/>
      <protection locked="0"/>
    </xf>
    <xf numFmtId="43" fontId="31" fillId="0" borderId="0" xfId="28" applyFont="1" applyBorder="1" applyAlignment="1">
      <alignment horizontal="left" vertical="center"/>
    </xf>
    <xf numFmtId="43" fontId="31" fillId="0" borderId="19" xfId="28" applyFont="1" applyFill="1" applyBorder="1" applyAlignment="1">
      <alignment horizontal="left" vertical="center"/>
    </xf>
    <xf numFmtId="43" fontId="31" fillId="0" borderId="22" xfId="28" applyFont="1" applyFill="1" applyBorder="1" applyAlignment="1">
      <alignment horizontal="left" vertical="center"/>
    </xf>
    <xf numFmtId="43" fontId="31" fillId="0" borderId="147" xfId="28" applyFont="1" applyFill="1" applyBorder="1" applyAlignment="1" applyProtection="1">
      <alignment horizontal="left" vertical="center"/>
      <protection hidden="1"/>
    </xf>
    <xf numFmtId="43" fontId="31" fillId="0" borderId="148" xfId="28" applyFont="1" applyFill="1" applyBorder="1" applyAlignment="1" applyProtection="1">
      <alignment horizontal="left" vertical="center"/>
      <protection hidden="1"/>
    </xf>
    <xf numFmtId="43" fontId="31" fillId="0" borderId="147" xfId="28" applyFont="1" applyFill="1" applyBorder="1" applyAlignment="1" applyProtection="1">
      <alignment horizontal="left" vertical="center" wrapText="1"/>
      <protection hidden="1"/>
    </xf>
    <xf numFmtId="43" fontId="81" fillId="0" borderId="147" xfId="28" applyFont="1" applyFill="1" applyBorder="1" applyAlignment="1" applyProtection="1">
      <alignment horizontal="left" vertical="center" wrapText="1"/>
      <protection hidden="1"/>
    </xf>
    <xf numFmtId="43" fontId="31" fillId="0" borderId="147" xfId="28" applyFont="1" applyFill="1" applyBorder="1" applyAlignment="1">
      <alignment horizontal="left" vertical="center"/>
    </xf>
    <xf numFmtId="43" fontId="32" fillId="20" borderId="151" xfId="28" applyFont="1" applyFill="1" applyBorder="1" applyAlignment="1" applyProtection="1">
      <alignment horizontal="left" vertical="center"/>
      <protection hidden="1"/>
    </xf>
    <xf numFmtId="43" fontId="13" fillId="24" borderId="149" xfId="28" applyFont="1" applyFill="1" applyBorder="1" applyAlignment="1" applyProtection="1">
      <alignment horizontal="left" vertical="center"/>
      <protection hidden="1"/>
    </xf>
    <xf numFmtId="43" fontId="68" fillId="0" borderId="173" xfId="28" applyFont="1" applyFill="1" applyBorder="1" applyAlignment="1" applyProtection="1">
      <alignment horizontal="left" vertical="center"/>
      <protection hidden="1"/>
    </xf>
    <xf numFmtId="43" fontId="56" fillId="0" borderId="0" xfId="28" applyFont="1" applyFill="1" applyAlignment="1">
      <alignment horizontal="left" vertical="center"/>
    </xf>
    <xf numFmtId="43" fontId="31" fillId="0" borderId="0" xfId="28" applyFont="1" applyFill="1" applyAlignment="1">
      <alignment horizontal="left" vertical="center"/>
    </xf>
    <xf numFmtId="43" fontId="31" fillId="0" borderId="0" xfId="28" applyFont="1" applyAlignment="1">
      <alignment horizontal="left" vertical="center"/>
    </xf>
    <xf numFmtId="43" fontId="40" fillId="0" borderId="146" xfId="28" applyFont="1" applyBorder="1" applyAlignment="1">
      <alignment horizontal="left" vertical="center"/>
    </xf>
    <xf numFmtId="43" fontId="32" fillId="0" borderId="147" xfId="28" applyFont="1" applyFill="1" applyBorder="1" applyAlignment="1" applyProtection="1">
      <alignment horizontal="right" vertical="center" wrapText="1"/>
      <protection hidden="1"/>
    </xf>
    <xf numFmtId="43" fontId="51" fillId="24" borderId="15" xfId="37" applyNumberFormat="1" applyFill="1" applyBorder="1" applyAlignment="1" applyProtection="1">
      <alignment horizontal="left" vertical="center"/>
      <protection locked="0"/>
    </xf>
    <xf numFmtId="43" fontId="82" fillId="28" borderId="26" xfId="55" applyFont="1" applyFill="1" applyBorder="1" applyAlignment="1" applyProtection="1">
      <alignment vertical="center"/>
      <protection hidden="1"/>
    </xf>
    <xf numFmtId="43" fontId="83" fillId="0" borderId="0" xfId="28" applyFont="1" applyFill="1" applyAlignment="1">
      <alignment vertical="center"/>
    </xf>
    <xf numFmtId="177" fontId="31" fillId="0" borderId="15" xfId="28" applyNumberFormat="1" applyFont="1" applyFill="1" applyBorder="1" applyAlignment="1" applyProtection="1">
      <alignment vertical="center"/>
      <protection locked="0" hidden="1"/>
    </xf>
    <xf numFmtId="177" fontId="31" fillId="0" borderId="15" xfId="28" applyNumberFormat="1" applyFont="1" applyFill="1" applyBorder="1" applyAlignment="1" applyProtection="1">
      <alignment vertical="center"/>
      <protection hidden="1"/>
    </xf>
    <xf numFmtId="177" fontId="31" fillId="24" borderId="15" xfId="28" applyNumberFormat="1" applyFont="1" applyFill="1" applyBorder="1" applyAlignment="1" applyProtection="1">
      <alignment vertical="center"/>
      <protection locked="0"/>
    </xf>
    <xf numFmtId="177" fontId="31" fillId="24" borderId="15" xfId="28" applyNumberFormat="1" applyFont="1" applyFill="1" applyBorder="1" applyAlignment="1" applyProtection="1">
      <alignment vertical="center"/>
      <protection locked="0" hidden="1"/>
    </xf>
    <xf numFmtId="177" fontId="31" fillId="24" borderId="15" xfId="28" applyNumberFormat="1" applyFont="1" applyFill="1" applyBorder="1" applyAlignment="1" applyProtection="1">
      <alignment vertical="center"/>
      <protection hidden="1"/>
    </xf>
    <xf numFmtId="177" fontId="31" fillId="24" borderId="15" xfId="28" applyNumberFormat="1" applyFont="1" applyFill="1" applyBorder="1" applyAlignment="1" applyProtection="1">
      <alignment horizontal="left" vertical="center"/>
      <protection locked="0"/>
    </xf>
    <xf numFmtId="177" fontId="31" fillId="0" borderId="15" xfId="28" applyNumberFormat="1" applyFont="1" applyFill="1" applyBorder="1" applyAlignment="1" applyProtection="1">
      <alignment vertical="center"/>
      <protection locked="0"/>
    </xf>
    <xf numFmtId="177" fontId="31" fillId="0" borderId="0" xfId="0" applyNumberFormat="1" applyFont="1" applyAlignment="1">
      <alignment wrapText="1"/>
    </xf>
    <xf numFmtId="177" fontId="33" fillId="0" borderId="15" xfId="28" applyNumberFormat="1" applyFont="1" applyFill="1" applyBorder="1" applyAlignment="1" applyProtection="1">
      <alignment horizontal="center" vertical="center" wrapText="1"/>
      <protection hidden="1"/>
    </xf>
    <xf numFmtId="177" fontId="33" fillId="0" borderId="15" xfId="0" applyNumberFormat="1" applyFont="1" applyBorder="1" applyAlignment="1" applyProtection="1">
      <alignment horizontal="center" vertical="center" wrapText="1"/>
      <protection hidden="1"/>
    </xf>
    <xf numFmtId="177" fontId="31" fillId="0" borderId="15" xfId="28" applyNumberFormat="1" applyFont="1" applyBorder="1" applyAlignment="1" applyProtection="1">
      <alignment vertical="center"/>
      <protection hidden="1"/>
    </xf>
    <xf numFmtId="177" fontId="31" fillId="0" borderId="15" xfId="28" applyNumberFormat="1" applyFont="1" applyFill="1" applyBorder="1" applyAlignment="1" applyProtection="1">
      <alignment horizontal="left" vertical="center"/>
      <protection locked="0"/>
    </xf>
    <xf numFmtId="177" fontId="31" fillId="24" borderId="0" xfId="28" applyNumberFormat="1" applyFont="1" applyFill="1" applyBorder="1" applyAlignment="1" applyProtection="1">
      <alignment vertical="center"/>
      <protection locked="0" hidden="1"/>
    </xf>
    <xf numFmtId="177" fontId="31" fillId="0" borderId="0" xfId="28" applyNumberFormat="1" applyFont="1" applyFill="1" applyBorder="1" applyAlignment="1" applyProtection="1">
      <alignment vertical="center"/>
      <protection locked="0" hidden="1"/>
    </xf>
    <xf numFmtId="177" fontId="31" fillId="0" borderId="0" xfId="28" applyNumberFormat="1" applyFont="1" applyFill="1" applyBorder="1" applyAlignment="1" applyProtection="1">
      <alignment vertical="center"/>
      <protection locked="0"/>
    </xf>
    <xf numFmtId="0" fontId="31" fillId="24" borderId="15" xfId="0" applyFont="1" applyFill="1" applyBorder="1" applyAlignment="1" applyProtection="1">
      <alignment horizontal="left" vertical="center" indent="1"/>
      <protection locked="0"/>
    </xf>
    <xf numFmtId="177" fontId="31" fillId="0" borderId="23" xfId="28" applyNumberFormat="1" applyFont="1" applyFill="1" applyBorder="1" applyAlignment="1" applyProtection="1">
      <alignment vertical="center"/>
      <protection hidden="1"/>
    </xf>
    <xf numFmtId="43" fontId="31" fillId="0" borderId="0" xfId="28" applyFont="1"/>
    <xf numFmtId="43" fontId="31" fillId="0" borderId="15" xfId="28" applyFont="1" applyBorder="1" applyAlignment="1" applyProtection="1">
      <alignment horizontal="right" vertical="center" indent="1"/>
      <protection hidden="1"/>
    </xf>
    <xf numFmtId="43" fontId="31" fillId="24" borderId="15" xfId="28" applyFont="1" applyFill="1" applyBorder="1" applyAlignment="1" applyProtection="1">
      <alignment horizontal="right" vertical="center" indent="1"/>
      <protection hidden="1"/>
    </xf>
    <xf numFmtId="43" fontId="31" fillId="0" borderId="24" xfId="28" applyFont="1" applyFill="1" applyBorder="1" applyAlignment="1" applyProtection="1">
      <alignment horizontal="right" vertical="center" indent="1"/>
      <protection hidden="1"/>
    </xf>
    <xf numFmtId="43" fontId="31" fillId="24" borderId="24" xfId="28" applyFont="1" applyFill="1" applyBorder="1" applyAlignment="1" applyProtection="1">
      <alignment horizontal="right" vertical="center" indent="1"/>
      <protection hidden="1"/>
    </xf>
    <xf numFmtId="43" fontId="31" fillId="0" borderId="15" xfId="28" applyFont="1" applyFill="1" applyBorder="1" applyAlignment="1" applyProtection="1">
      <alignment horizontal="right" vertical="center" indent="1"/>
      <protection hidden="1"/>
    </xf>
    <xf numFmtId="43" fontId="31" fillId="24" borderId="23" xfId="28" applyFont="1" applyFill="1" applyBorder="1" applyAlignment="1" applyProtection="1">
      <alignment horizontal="right" vertical="center" indent="1"/>
      <protection hidden="1"/>
    </xf>
    <xf numFmtId="43" fontId="31" fillId="0" borderId="23" xfId="28" applyFont="1" applyFill="1" applyBorder="1" applyAlignment="1" applyProtection="1">
      <alignment horizontal="right" vertical="center" indent="1"/>
      <protection hidden="1"/>
    </xf>
    <xf numFmtId="43" fontId="31" fillId="24" borderId="15" xfId="28" applyFont="1" applyFill="1" applyBorder="1" applyAlignment="1" applyProtection="1">
      <alignment vertical="center"/>
      <protection locked="0" hidden="1"/>
    </xf>
    <xf numFmtId="43" fontId="31" fillId="0" borderId="15" xfId="28" applyFont="1" applyFill="1" applyBorder="1" applyAlignment="1" applyProtection="1">
      <alignment vertical="center"/>
      <protection locked="0" hidden="1"/>
    </xf>
    <xf numFmtId="43" fontId="31" fillId="24" borderId="15" xfId="28" applyFont="1" applyFill="1" applyBorder="1" applyAlignment="1" applyProtection="1">
      <alignment vertical="center"/>
      <protection hidden="1"/>
    </xf>
    <xf numFmtId="43" fontId="31" fillId="0" borderId="15" xfId="28" applyFont="1" applyFill="1" applyBorder="1" applyAlignment="1" applyProtection="1">
      <alignment vertical="center"/>
      <protection hidden="1"/>
    </xf>
    <xf numFmtId="43" fontId="33" fillId="0" borderId="15" xfId="28" applyFont="1" applyFill="1" applyBorder="1" applyAlignment="1">
      <alignment horizontal="center" vertical="center" wrapText="1"/>
    </xf>
    <xf numFmtId="43" fontId="32" fillId="22" borderId="33" xfId="28" quotePrefix="1" applyFont="1" applyFill="1" applyBorder="1" applyAlignment="1">
      <alignment vertical="center"/>
    </xf>
    <xf numFmtId="43" fontId="18" fillId="25" borderId="155" xfId="28" applyFont="1" applyFill="1" applyBorder="1" applyAlignment="1" applyProtection="1">
      <alignment vertical="center"/>
      <protection locked="0"/>
    </xf>
    <xf numFmtId="43" fontId="18" fillId="25" borderId="161" xfId="28" applyFont="1" applyFill="1" applyBorder="1" applyAlignment="1" applyProtection="1">
      <alignment vertical="center"/>
      <protection locked="0"/>
    </xf>
    <xf numFmtId="43" fontId="18" fillId="25" borderId="158" xfId="28" applyFont="1" applyFill="1" applyBorder="1" applyAlignment="1" applyProtection="1">
      <alignment vertical="center"/>
      <protection locked="0"/>
    </xf>
    <xf numFmtId="43" fontId="84" fillId="0" borderId="0" xfId="28" applyFont="1" applyFill="1" applyAlignment="1">
      <alignment vertical="center"/>
    </xf>
    <xf numFmtId="43" fontId="85" fillId="0" borderId="0" xfId="28" applyFont="1" applyFill="1" applyAlignment="1">
      <alignment vertical="center"/>
    </xf>
    <xf numFmtId="43" fontId="86" fillId="0" borderId="0" xfId="28" applyFont="1" applyFill="1" applyAlignment="1">
      <alignment vertical="center"/>
    </xf>
    <xf numFmtId="43" fontId="31" fillId="0" borderId="0" xfId="28" applyFont="1" applyFill="1" applyAlignment="1" applyProtection="1">
      <alignment vertical="center"/>
      <protection locked="0"/>
    </xf>
    <xf numFmtId="43" fontId="32" fillId="22" borderId="33" xfId="28" applyFont="1" applyFill="1" applyBorder="1" applyAlignment="1" applyProtection="1">
      <alignment vertical="center"/>
      <protection hidden="1"/>
    </xf>
    <xf numFmtId="43" fontId="7" fillId="0" borderId="0" xfId="53" applyNumberFormat="1" applyAlignment="1" applyProtection="1">
      <alignment vertical="center"/>
      <protection hidden="1"/>
    </xf>
    <xf numFmtId="166" fontId="32" fillId="25" borderId="155" xfId="28" applyNumberFormat="1" applyFont="1" applyFill="1" applyBorder="1" applyAlignment="1" applyProtection="1">
      <alignment vertical="center"/>
      <protection locked="0"/>
    </xf>
    <xf numFmtId="43" fontId="51" fillId="0" borderId="15" xfId="37" applyNumberFormat="1" applyFill="1" applyBorder="1" applyAlignment="1" applyProtection="1">
      <alignment horizontal="left" vertical="center"/>
      <protection locked="0"/>
    </xf>
    <xf numFmtId="0" fontId="31" fillId="0" borderId="16" xfId="0" applyFont="1" applyBorder="1" applyAlignment="1" applyProtection="1">
      <alignment horizontal="left" vertical="center" indent="1"/>
      <protection locked="0"/>
    </xf>
    <xf numFmtId="17" fontId="0" fillId="0" borderId="0" xfId="0" applyNumberFormat="1"/>
    <xf numFmtId="17" fontId="7" fillId="0" borderId="0" xfId="0" applyNumberFormat="1" applyFont="1"/>
    <xf numFmtId="0" fontId="51" fillId="0" borderId="0" xfId="37" applyAlignment="1" applyProtection="1"/>
    <xf numFmtId="0" fontId="31" fillId="24" borderId="16" xfId="0" applyFont="1" applyFill="1" applyBorder="1" applyAlignment="1" applyProtection="1">
      <alignment horizontal="left" vertical="center" indent="1"/>
      <protection locked="0"/>
    </xf>
    <xf numFmtId="177" fontId="31" fillId="24" borderId="0" xfId="28" applyNumberFormat="1" applyFont="1" applyFill="1" applyBorder="1" applyAlignment="1" applyProtection="1">
      <alignment vertical="center"/>
      <protection locked="0"/>
    </xf>
    <xf numFmtId="166" fontId="7" fillId="0" borderId="0" xfId="28" applyNumberFormat="1" applyFont="1" applyAlignment="1">
      <alignment horizontal="center"/>
    </xf>
    <xf numFmtId="49" fontId="31" fillId="0" borderId="24" xfId="28" applyNumberFormat="1" applyFont="1" applyBorder="1" applyAlignment="1" applyProtection="1">
      <alignment horizontal="center" vertical="center"/>
      <protection hidden="1"/>
    </xf>
    <xf numFmtId="49" fontId="31" fillId="27" borderId="24" xfId="28" applyNumberFormat="1" applyFont="1" applyFill="1" applyBorder="1" applyAlignment="1" applyProtection="1">
      <alignment horizontal="center" vertical="center"/>
      <protection hidden="1"/>
    </xf>
    <xf numFmtId="49" fontId="31" fillId="0" borderId="24" xfId="28" quotePrefix="1" applyNumberFormat="1" applyFont="1" applyBorder="1" applyAlignment="1" applyProtection="1">
      <alignment horizontal="center" vertical="center"/>
      <protection hidden="1"/>
    </xf>
    <xf numFmtId="49" fontId="31" fillId="27" borderId="24" xfId="28" quotePrefix="1" applyNumberFormat="1" applyFont="1" applyFill="1" applyBorder="1" applyAlignment="1" applyProtection="1">
      <alignment horizontal="center" vertical="center"/>
      <protection hidden="1"/>
    </xf>
    <xf numFmtId="49" fontId="31" fillId="0" borderId="24" xfId="28" quotePrefix="1" applyNumberFormat="1" applyFont="1" applyFill="1" applyBorder="1" applyAlignment="1" applyProtection="1">
      <alignment horizontal="center" vertical="center"/>
      <protection hidden="1"/>
    </xf>
    <xf numFmtId="49" fontId="31" fillId="0" borderId="24" xfId="28" applyNumberFormat="1" applyFont="1" applyFill="1" applyBorder="1" applyAlignment="1" applyProtection="1">
      <alignment horizontal="center" vertical="center"/>
      <protection hidden="1"/>
    </xf>
    <xf numFmtId="166" fontId="31" fillId="0" borderId="53" xfId="28" applyNumberFormat="1" applyFont="1" applyFill="1" applyBorder="1" applyAlignment="1">
      <alignment horizontal="center" vertical="center"/>
    </xf>
    <xf numFmtId="166" fontId="7" fillId="0" borderId="22" xfId="28" applyNumberFormat="1" applyFont="1" applyBorder="1" applyAlignment="1">
      <alignment horizontal="center" vertical="center"/>
    </xf>
    <xf numFmtId="15" fontId="2" fillId="30" borderId="13" xfId="60" applyNumberFormat="1" applyBorder="1" applyAlignment="1" applyProtection="1">
      <alignment vertical="center"/>
      <protection locked="0"/>
    </xf>
    <xf numFmtId="15" fontId="2" fillId="30" borderId="15" xfId="60" applyNumberFormat="1" applyBorder="1" applyAlignment="1" applyProtection="1">
      <alignment horizontal="left" vertical="center" indent="1"/>
      <protection locked="0"/>
    </xf>
    <xf numFmtId="49" fontId="2" fillId="30" borderId="15" xfId="60" applyNumberFormat="1" applyBorder="1" applyAlignment="1" applyProtection="1">
      <alignment horizontal="center" vertical="center"/>
      <protection locked="0"/>
    </xf>
    <xf numFmtId="43" fontId="2" fillId="30" borderId="15" xfId="60" applyNumberFormat="1" applyBorder="1" applyAlignment="1" applyProtection="1">
      <alignment horizontal="left" vertical="center"/>
      <protection locked="0"/>
    </xf>
    <xf numFmtId="177" fontId="2" fillId="30" borderId="15" xfId="60" applyNumberFormat="1" applyBorder="1" applyAlignment="1" applyProtection="1">
      <alignment vertical="center"/>
      <protection locked="0"/>
    </xf>
    <xf numFmtId="177" fontId="2" fillId="30" borderId="15" xfId="60" applyNumberFormat="1" applyBorder="1" applyAlignment="1" applyProtection="1">
      <alignment horizontal="left" vertical="center"/>
      <protection locked="0"/>
    </xf>
    <xf numFmtId="177" fontId="2" fillId="30" borderId="15" xfId="60" applyNumberFormat="1" applyBorder="1" applyAlignment="1" applyProtection="1">
      <alignment vertical="center"/>
      <protection locked="0" hidden="1"/>
    </xf>
    <xf numFmtId="177" fontId="2" fillId="30" borderId="15" xfId="60" applyNumberFormat="1" applyBorder="1" applyAlignment="1" applyProtection="1">
      <alignment vertical="center"/>
      <protection hidden="1"/>
    </xf>
    <xf numFmtId="43" fontId="2" fillId="30" borderId="15" xfId="60" applyNumberFormat="1" applyBorder="1" applyAlignment="1" applyProtection="1">
      <alignment vertical="center"/>
      <protection locked="0" hidden="1"/>
    </xf>
    <xf numFmtId="39" fontId="2" fillId="30" borderId="15" xfId="60" applyNumberFormat="1" applyBorder="1" applyAlignment="1" applyProtection="1">
      <alignment horizontal="left" vertical="center" indent="1"/>
      <protection hidden="1"/>
    </xf>
    <xf numFmtId="0" fontId="2" fillId="30" borderId="15" xfId="60" applyBorder="1" applyAlignment="1" applyProtection="1">
      <alignment horizontal="left" vertical="center" indent="1"/>
      <protection locked="0"/>
    </xf>
    <xf numFmtId="39" fontId="2" fillId="30" borderId="15" xfId="60" applyNumberFormat="1" applyBorder="1" applyAlignment="1" applyProtection="1">
      <alignment horizontal="left" vertical="center" indent="1"/>
      <protection locked="0" hidden="1"/>
    </xf>
    <xf numFmtId="0" fontId="2" fillId="30" borderId="16" xfId="60" quotePrefix="1" applyBorder="1" applyAlignment="1" applyProtection="1">
      <alignment horizontal="left" vertical="center" indent="1"/>
      <protection locked="0"/>
    </xf>
    <xf numFmtId="177" fontId="2" fillId="30" borderId="0" xfId="60" applyNumberFormat="1" applyBorder="1" applyAlignment="1" applyProtection="1">
      <alignment vertical="center"/>
      <protection locked="0" hidden="1"/>
    </xf>
    <xf numFmtId="0" fontId="87" fillId="30" borderId="0" xfId="60" applyFont="1" applyAlignment="1">
      <alignment horizontal="center" vertical="center" wrapText="1"/>
    </xf>
    <xf numFmtId="43" fontId="32" fillId="0" borderId="26" xfId="28" applyFont="1" applyFill="1" applyBorder="1" applyAlignment="1" applyProtection="1">
      <alignment vertical="center"/>
      <protection hidden="1"/>
    </xf>
    <xf numFmtId="178" fontId="31" fillId="0" borderId="129" xfId="46" applyNumberFormat="1" applyFont="1" applyBorder="1" applyAlignment="1">
      <alignment vertical="center"/>
    </xf>
    <xf numFmtId="1" fontId="31" fillId="0" borderId="129" xfId="46" applyNumberFormat="1" applyFont="1" applyBorder="1" applyAlignment="1">
      <alignment vertical="center"/>
    </xf>
    <xf numFmtId="43" fontId="48" fillId="0" borderId="72" xfId="28" applyFont="1" applyFill="1" applyBorder="1" applyAlignment="1">
      <alignment horizontal="left" vertical="center"/>
    </xf>
    <xf numFmtId="43" fontId="34" fillId="0" borderId="15" xfId="28" applyFont="1" applyFill="1" applyBorder="1" applyAlignment="1" applyProtection="1">
      <alignment horizontal="left" vertical="center"/>
      <protection locked="0"/>
    </xf>
    <xf numFmtId="182" fontId="43" fillId="0" borderId="0" xfId="0" applyNumberFormat="1" applyFont="1"/>
    <xf numFmtId="164" fontId="31" fillId="0" borderId="179" xfId="28" applyNumberFormat="1" applyFont="1" applyFill="1" applyBorder="1" applyAlignment="1" applyProtection="1">
      <alignment vertical="center"/>
      <protection hidden="1"/>
    </xf>
    <xf numFmtId="43" fontId="7" fillId="0" borderId="0" xfId="28" applyFont="1" applyFill="1" applyAlignment="1">
      <alignment horizontal="left" vertical="center"/>
    </xf>
    <xf numFmtId="43" fontId="31" fillId="0" borderId="33" xfId="28" applyFont="1" applyFill="1" applyBorder="1" applyAlignment="1">
      <alignment vertical="center" wrapText="1"/>
    </xf>
    <xf numFmtId="43" fontId="18" fillId="0" borderId="162" xfId="28" applyFont="1" applyFill="1" applyBorder="1" applyAlignment="1" applyProtection="1">
      <alignment vertical="center"/>
      <protection locked="0"/>
    </xf>
    <xf numFmtId="43" fontId="18" fillId="0" borderId="158" xfId="28" applyFont="1" applyFill="1" applyBorder="1" applyAlignment="1" applyProtection="1">
      <alignment vertical="center"/>
      <protection locked="0"/>
    </xf>
    <xf numFmtId="43" fontId="13" fillId="0" borderId="158" xfId="28" applyFont="1" applyFill="1" applyBorder="1" applyAlignment="1" applyProtection="1">
      <alignment vertical="center"/>
      <protection locked="0"/>
    </xf>
    <xf numFmtId="43" fontId="13" fillId="0" borderId="157" xfId="28" applyFont="1" applyFill="1" applyBorder="1" applyAlignment="1" applyProtection="1">
      <alignment vertical="center"/>
    </xf>
    <xf numFmtId="43" fontId="13" fillId="0" borderId="157" xfId="28" applyFont="1" applyFill="1" applyBorder="1" applyAlignment="1" applyProtection="1">
      <alignment vertical="center"/>
      <protection locked="0"/>
    </xf>
    <xf numFmtId="43" fontId="13" fillId="0" borderId="158" xfId="28" applyFont="1" applyFill="1" applyBorder="1" applyAlignment="1" applyProtection="1">
      <alignment horizontal="left" vertical="center" indent="1"/>
      <protection locked="0"/>
    </xf>
    <xf numFmtId="43" fontId="13" fillId="0" borderId="162" xfId="28" applyFont="1" applyFill="1" applyBorder="1" applyAlignment="1" applyProtection="1">
      <alignment vertical="center"/>
      <protection locked="0"/>
    </xf>
    <xf numFmtId="43" fontId="7" fillId="0" borderId="0" xfId="28" applyFont="1" applyAlignment="1">
      <alignment horizontal="left" vertical="center"/>
    </xf>
    <xf numFmtId="15" fontId="51" fillId="0" borderId="15" xfId="37" applyNumberFormat="1" applyFill="1" applyBorder="1" applyAlignment="1" applyProtection="1">
      <alignment horizontal="left" vertical="center" indent="1"/>
      <protection locked="0"/>
    </xf>
    <xf numFmtId="43" fontId="48" fillId="30" borderId="23" xfId="60" applyNumberFormat="1" applyFont="1" applyBorder="1" applyAlignment="1" applyProtection="1">
      <alignment horizontal="right" vertical="center" indent="1"/>
      <protection hidden="1"/>
    </xf>
    <xf numFmtId="43" fontId="42" fillId="0" borderId="54" xfId="28" applyFont="1" applyBorder="1" applyProtection="1">
      <protection hidden="1"/>
    </xf>
    <xf numFmtId="177" fontId="31" fillId="24" borderId="0" xfId="0" applyNumberFormat="1" applyFont="1" applyFill="1" applyAlignment="1">
      <alignment wrapText="1"/>
    </xf>
    <xf numFmtId="49" fontId="31" fillId="0" borderId="0" xfId="0" applyNumberFormat="1" applyFont="1" applyAlignment="1">
      <alignment horizontal="left" vertical="center"/>
    </xf>
    <xf numFmtId="49" fontId="31" fillId="0" borderId="45" xfId="0" applyNumberFormat="1" applyFont="1" applyBorder="1" applyAlignment="1">
      <alignment horizontal="left" vertical="center" wrapText="1"/>
    </xf>
    <xf numFmtId="49" fontId="31" fillId="0" borderId="15" xfId="28" applyNumberFormat="1" applyFont="1" applyFill="1" applyBorder="1" applyAlignment="1" applyProtection="1">
      <alignment horizontal="left" vertical="center"/>
      <protection hidden="1"/>
    </xf>
    <xf numFmtId="49" fontId="31" fillId="24" borderId="15" xfId="28" applyNumberFormat="1" applyFont="1" applyFill="1" applyBorder="1" applyAlignment="1" applyProtection="1">
      <alignment horizontal="left" vertical="center"/>
      <protection hidden="1"/>
    </xf>
    <xf numFmtId="49" fontId="31" fillId="24" borderId="15" xfId="28" applyNumberFormat="1" applyFont="1" applyFill="1" applyBorder="1" applyAlignment="1" applyProtection="1">
      <alignment horizontal="left" vertical="center"/>
      <protection locked="0"/>
    </xf>
    <xf numFmtId="49" fontId="2" fillId="30" borderId="15" xfId="60" applyNumberFormat="1" applyBorder="1" applyAlignment="1" applyProtection="1">
      <alignment horizontal="left" vertical="center"/>
      <protection locked="0"/>
    </xf>
    <xf numFmtId="49" fontId="31" fillId="0" borderId="18" xfId="0" applyNumberFormat="1" applyFont="1" applyBorder="1" applyAlignment="1" applyProtection="1">
      <alignment horizontal="left" vertical="center"/>
      <protection hidden="1"/>
    </xf>
    <xf numFmtId="49" fontId="31" fillId="0" borderId="0" xfId="0" applyNumberFormat="1" applyFont="1" applyAlignment="1" applyProtection="1">
      <alignment horizontal="left" vertical="center"/>
      <protection hidden="1"/>
    </xf>
    <xf numFmtId="182" fontId="43" fillId="0" borderId="0" xfId="28" applyNumberFormat="1" applyFont="1"/>
    <xf numFmtId="182" fontId="43" fillId="0" borderId="0" xfId="28" applyNumberFormat="1" applyFont="1" applyProtection="1">
      <protection hidden="1"/>
    </xf>
    <xf numFmtId="182" fontId="43" fillId="0" borderId="54" xfId="28" applyNumberFormat="1" applyFont="1" applyBorder="1" applyProtection="1">
      <protection hidden="1"/>
    </xf>
    <xf numFmtId="43" fontId="32" fillId="20" borderId="26" xfId="28" applyFont="1" applyFill="1" applyBorder="1" applyAlignment="1" applyProtection="1">
      <alignment vertical="center"/>
      <protection hidden="1"/>
    </xf>
    <xf numFmtId="43" fontId="32" fillId="0" borderId="181" xfId="28" quotePrefix="1" applyFont="1" applyFill="1" applyBorder="1" applyAlignment="1">
      <alignment horizontal="center" vertical="center" wrapText="1"/>
    </xf>
    <xf numFmtId="164" fontId="31" fillId="0" borderId="39" xfId="28" applyNumberFormat="1" applyFont="1" applyFill="1" applyBorder="1" applyAlignment="1" applyProtection="1">
      <alignment horizontal="left" vertical="center" indent="3"/>
      <protection hidden="1"/>
    </xf>
    <xf numFmtId="43" fontId="31" fillId="0" borderId="66" xfId="28" applyFont="1" applyFill="1" applyBorder="1" applyAlignment="1">
      <alignment horizontal="left" vertical="center" indent="3"/>
    </xf>
    <xf numFmtId="49" fontId="31" fillId="0" borderId="0" xfId="28" applyNumberFormat="1" applyFont="1" applyAlignment="1">
      <alignment horizontal="right" vertical="center"/>
    </xf>
    <xf numFmtId="49" fontId="31" fillId="0" borderId="0" xfId="28" applyNumberFormat="1" applyFont="1" applyFill="1" applyAlignment="1">
      <alignment horizontal="right" vertical="center"/>
    </xf>
    <xf numFmtId="49" fontId="89" fillId="0" borderId="0" xfId="28" applyNumberFormat="1" applyFont="1" applyFill="1" applyAlignment="1">
      <alignment horizontal="right" vertical="center"/>
    </xf>
    <xf numFmtId="49" fontId="83" fillId="0" borderId="0" xfId="28" applyNumberFormat="1" applyFont="1" applyFill="1" applyAlignment="1">
      <alignment horizontal="right" vertical="center"/>
    </xf>
    <xf numFmtId="49" fontId="56" fillId="0" borderId="0" xfId="28" applyNumberFormat="1" applyFont="1" applyAlignment="1">
      <alignment horizontal="right" vertical="center"/>
    </xf>
    <xf numFmtId="49" fontId="90" fillId="0" borderId="0" xfId="28" applyNumberFormat="1" applyFont="1" applyFill="1" applyAlignment="1">
      <alignment horizontal="right" vertical="center" wrapText="1"/>
    </xf>
    <xf numFmtId="165" fontId="31" fillId="0" borderId="49" xfId="28" applyNumberFormat="1" applyFont="1" applyFill="1" applyBorder="1" applyAlignment="1" applyProtection="1">
      <alignment vertical="center"/>
      <protection hidden="1"/>
    </xf>
    <xf numFmtId="165" fontId="31" fillId="0" borderId="51" xfId="28" applyNumberFormat="1" applyFont="1" applyFill="1" applyBorder="1" applyAlignment="1" applyProtection="1">
      <alignment vertical="center"/>
      <protection hidden="1"/>
    </xf>
    <xf numFmtId="43" fontId="31" fillId="0" borderId="16" xfId="28" applyFont="1" applyBorder="1" applyAlignment="1">
      <alignment vertical="center"/>
    </xf>
    <xf numFmtId="9" fontId="31" fillId="20" borderId="182" xfId="63" quotePrefix="1" applyFont="1" applyFill="1" applyBorder="1" applyAlignment="1" applyProtection="1">
      <alignment vertical="center"/>
      <protection hidden="1"/>
    </xf>
    <xf numFmtId="9" fontId="31" fillId="0" borderId="39" xfId="63" applyFont="1" applyFill="1" applyBorder="1" applyAlignment="1" applyProtection="1">
      <alignment vertical="center"/>
      <protection hidden="1"/>
    </xf>
    <xf numFmtId="178" fontId="31" fillId="0" borderId="183" xfId="63" applyNumberFormat="1" applyFont="1" applyFill="1" applyBorder="1" applyAlignment="1" applyProtection="1">
      <alignment vertical="center"/>
      <protection hidden="1"/>
    </xf>
    <xf numFmtId="178" fontId="31" fillId="0" borderId="39" xfId="63" applyNumberFormat="1" applyFont="1" applyFill="1" applyBorder="1" applyAlignment="1" applyProtection="1">
      <alignment vertical="center"/>
      <protection hidden="1"/>
    </xf>
    <xf numFmtId="177" fontId="33" fillId="24" borderId="15" xfId="28" applyNumberFormat="1" applyFont="1" applyFill="1" applyBorder="1" applyAlignment="1" applyProtection="1">
      <alignment horizontal="center" vertical="center" wrapText="1"/>
      <protection hidden="1"/>
    </xf>
    <xf numFmtId="177" fontId="33" fillId="24" borderId="15" xfId="0" applyNumberFormat="1" applyFont="1" applyFill="1" applyBorder="1" applyAlignment="1" applyProtection="1">
      <alignment horizontal="center" vertical="center" wrapText="1"/>
      <protection hidden="1"/>
    </xf>
    <xf numFmtId="0" fontId="51" fillId="24" borderId="16" xfId="37" applyFill="1" applyBorder="1" applyAlignment="1">
      <alignment horizontal="left" vertical="center" indent="1"/>
      <protection locked="0"/>
    </xf>
    <xf numFmtId="0" fontId="31" fillId="24" borderId="0" xfId="0" applyFont="1" applyFill="1"/>
    <xf numFmtId="3" fontId="91" fillId="0" borderId="0" xfId="0" applyNumberFormat="1" applyFont="1" applyAlignment="1">
      <alignment horizontal="left" vertical="center"/>
    </xf>
    <xf numFmtId="164" fontId="32" fillId="0" borderId="26" xfId="28" applyNumberFormat="1" applyFont="1" applyFill="1" applyBorder="1" applyAlignment="1" applyProtection="1">
      <alignment vertical="center"/>
      <protection hidden="1"/>
    </xf>
    <xf numFmtId="49" fontId="82" fillId="0" borderId="0" xfId="28" applyNumberFormat="1" applyFont="1" applyFill="1" applyAlignment="1">
      <alignment horizontal="right" vertical="center"/>
    </xf>
    <xf numFmtId="43" fontId="26" fillId="0" borderId="0" xfId="0" applyNumberFormat="1" applyFont="1"/>
    <xf numFmtId="0" fontId="92" fillId="0" borderId="0" xfId="0" applyFont="1"/>
    <xf numFmtId="43" fontId="32" fillId="22" borderId="40" xfId="28" applyFont="1" applyFill="1" applyBorder="1" applyAlignment="1">
      <alignment vertical="center"/>
    </xf>
    <xf numFmtId="10" fontId="31" fillId="0" borderId="49" xfId="28" applyNumberFormat="1" applyFont="1" applyFill="1" applyBorder="1" applyAlignment="1" applyProtection="1">
      <alignment vertical="center"/>
      <protection hidden="1"/>
    </xf>
    <xf numFmtId="10" fontId="31" fillId="0" borderId="184" xfId="28" applyNumberFormat="1" applyFont="1" applyFill="1" applyBorder="1" applyAlignment="1" applyProtection="1">
      <alignment vertical="center"/>
      <protection hidden="1"/>
    </xf>
    <xf numFmtId="43" fontId="31" fillId="0" borderId="49" xfId="28" applyFont="1" applyFill="1" applyBorder="1" applyAlignment="1">
      <alignment vertical="center"/>
    </xf>
    <xf numFmtId="43" fontId="31" fillId="0" borderId="49" xfId="28" applyFont="1" applyFill="1" applyBorder="1" applyAlignment="1"/>
    <xf numFmtId="43" fontId="31" fillId="0" borderId="185" xfId="28" applyFont="1" applyFill="1" applyBorder="1" applyAlignment="1" applyProtection="1">
      <alignment vertical="center"/>
      <protection hidden="1"/>
    </xf>
    <xf numFmtId="43" fontId="32" fillId="0" borderId="186" xfId="28" applyFont="1" applyBorder="1" applyAlignment="1">
      <alignment horizontal="center" vertical="center" wrapText="1"/>
    </xf>
    <xf numFmtId="43" fontId="13" fillId="0" borderId="187" xfId="28" quotePrefix="1" applyFont="1" applyBorder="1" applyAlignment="1">
      <alignment horizontal="center" vertical="center" wrapText="1"/>
    </xf>
    <xf numFmtId="43" fontId="31" fillId="0" borderId="188" xfId="28" applyFont="1" applyFill="1" applyBorder="1" applyAlignment="1" applyProtection="1">
      <alignment vertical="center"/>
      <protection hidden="1"/>
    </xf>
    <xf numFmtId="43" fontId="39" fillId="0" borderId="189" xfId="28" applyFont="1" applyFill="1" applyBorder="1" applyAlignment="1">
      <alignment vertical="center"/>
    </xf>
    <xf numFmtId="4" fontId="31" fillId="0" borderId="189" xfId="28" applyNumberFormat="1" applyFont="1" applyFill="1" applyBorder="1" applyAlignment="1">
      <alignment vertical="center"/>
    </xf>
    <xf numFmtId="43" fontId="31" fillId="0" borderId="189" xfId="28" applyFont="1" applyFill="1" applyBorder="1" applyAlignment="1">
      <alignment vertical="center"/>
    </xf>
    <xf numFmtId="43" fontId="31" fillId="0" borderId="188" xfId="28" applyFont="1" applyFill="1" applyBorder="1" applyAlignment="1" applyProtection="1">
      <alignment vertical="center" wrapText="1"/>
      <protection hidden="1"/>
    </xf>
    <xf numFmtId="43" fontId="31" fillId="0" borderId="188" xfId="28" applyFont="1" applyFill="1" applyBorder="1" applyAlignment="1" applyProtection="1">
      <alignment horizontal="right" vertical="center" wrapText="1"/>
      <protection hidden="1"/>
    </xf>
    <xf numFmtId="43" fontId="31" fillId="0" borderId="188" xfId="28" applyFont="1" applyFill="1" applyBorder="1" applyAlignment="1">
      <alignment horizontal="right" vertical="center"/>
    </xf>
    <xf numFmtId="43" fontId="31" fillId="0" borderId="190" xfId="28" applyFont="1" applyFill="1" applyBorder="1" applyAlignment="1">
      <alignment vertical="center"/>
    </xf>
    <xf numFmtId="43" fontId="39" fillId="0" borderId="191" xfId="28" applyFont="1" applyFill="1" applyBorder="1" applyAlignment="1">
      <alignment vertical="center"/>
    </xf>
    <xf numFmtId="43" fontId="31" fillId="0" borderId="194" xfId="28" applyFont="1" applyBorder="1" applyAlignment="1">
      <alignment vertical="center"/>
    </xf>
    <xf numFmtId="43" fontId="31" fillId="0" borderId="195" xfId="28" applyFont="1" applyBorder="1" applyAlignment="1">
      <alignment vertical="center"/>
    </xf>
    <xf numFmtId="43" fontId="31" fillId="0" borderId="196" xfId="28" applyFont="1" applyFill="1" applyBorder="1" applyAlignment="1" applyProtection="1">
      <alignment vertical="center"/>
      <protection hidden="1"/>
    </xf>
    <xf numFmtId="165" fontId="31" fillId="0" borderId="197" xfId="51" applyNumberFormat="1" applyFont="1" applyFill="1" applyBorder="1" applyAlignment="1">
      <alignment horizontal="right" vertical="center" wrapText="1" indent="2"/>
    </xf>
    <xf numFmtId="43" fontId="31" fillId="0" borderId="198" xfId="28" applyFont="1" applyFill="1" applyBorder="1" applyAlignment="1" applyProtection="1">
      <alignment vertical="center"/>
      <protection hidden="1"/>
    </xf>
    <xf numFmtId="165" fontId="31" fillId="0" borderId="199" xfId="28" applyNumberFormat="1" applyFont="1" applyFill="1" applyBorder="1" applyAlignment="1">
      <alignment horizontal="right" vertical="center" wrapText="1" indent="2"/>
    </xf>
    <xf numFmtId="165" fontId="31" fillId="0" borderId="200" xfId="51" applyNumberFormat="1" applyFont="1" applyFill="1" applyBorder="1" applyAlignment="1">
      <alignment horizontal="right" vertical="center" wrapText="1" indent="2"/>
    </xf>
    <xf numFmtId="43" fontId="33" fillId="24" borderId="188" xfId="28" applyFont="1" applyFill="1" applyBorder="1" applyAlignment="1" applyProtection="1">
      <alignment vertical="center"/>
      <protection hidden="1"/>
    </xf>
    <xf numFmtId="43" fontId="31" fillId="0" borderId="187" xfId="28" applyFont="1" applyFill="1" applyBorder="1" applyAlignment="1">
      <alignment vertical="center"/>
    </xf>
    <xf numFmtId="165" fontId="31" fillId="0" borderId="189" xfId="28" applyNumberFormat="1" applyFont="1" applyFill="1" applyBorder="1" applyAlignment="1">
      <alignment horizontal="right" vertical="center" wrapText="1" indent="2"/>
    </xf>
    <xf numFmtId="43" fontId="31" fillId="0" borderId="201" xfId="28" applyFont="1" applyFill="1" applyBorder="1" applyAlignment="1" applyProtection="1">
      <alignment vertical="center"/>
      <protection hidden="1"/>
    </xf>
    <xf numFmtId="165" fontId="31" fillId="0" borderId="187" xfId="28" applyNumberFormat="1" applyFont="1" applyFill="1" applyBorder="1" applyAlignment="1">
      <alignment horizontal="right" vertical="center" wrapText="1" indent="2"/>
    </xf>
    <xf numFmtId="43" fontId="34" fillId="0" borderId="188" xfId="28" applyFont="1" applyFill="1" applyBorder="1" applyAlignment="1" applyProtection="1">
      <alignment vertical="center"/>
      <protection hidden="1"/>
    </xf>
    <xf numFmtId="43" fontId="33" fillId="0" borderId="202" xfId="28" applyFont="1" applyFill="1" applyBorder="1" applyAlignment="1" applyProtection="1">
      <alignment vertical="center"/>
      <protection hidden="1"/>
    </xf>
    <xf numFmtId="165" fontId="31" fillId="0" borderId="203" xfId="28" applyNumberFormat="1" applyFont="1" applyFill="1" applyBorder="1" applyAlignment="1">
      <alignment horizontal="right" vertical="center" wrapText="1" indent="2"/>
    </xf>
    <xf numFmtId="165" fontId="31" fillId="0" borderId="200" xfId="28" applyNumberFormat="1" applyFont="1" applyFill="1" applyBorder="1" applyAlignment="1">
      <alignment horizontal="right" vertical="center" wrapText="1" indent="2"/>
    </xf>
    <xf numFmtId="43" fontId="33" fillId="0" borderId="202" xfId="28" applyFont="1" applyFill="1" applyBorder="1" applyAlignment="1" applyProtection="1">
      <alignment horizontal="left" vertical="center" wrapText="1"/>
      <protection hidden="1"/>
    </xf>
    <xf numFmtId="165" fontId="31" fillId="0" borderId="204" xfId="28" applyNumberFormat="1" applyFont="1" applyFill="1" applyBorder="1" applyAlignment="1">
      <alignment horizontal="right" vertical="center" wrapText="1" indent="2"/>
    </xf>
    <xf numFmtId="43" fontId="34" fillId="0" borderId="202" xfId="28" applyFont="1" applyFill="1" applyBorder="1" applyAlignment="1" applyProtection="1">
      <alignment vertical="center"/>
      <protection hidden="1"/>
    </xf>
    <xf numFmtId="43" fontId="32" fillId="20" borderId="205" xfId="28" applyFont="1" applyFill="1" applyBorder="1" applyAlignment="1" applyProtection="1">
      <alignment horizontal="right" vertical="center"/>
      <protection hidden="1"/>
    </xf>
    <xf numFmtId="43" fontId="31" fillId="20" borderId="189" xfId="28" applyFont="1" applyFill="1" applyBorder="1" applyAlignment="1" applyProtection="1">
      <alignment horizontal="left" vertical="center"/>
      <protection hidden="1"/>
    </xf>
    <xf numFmtId="43" fontId="31" fillId="0" borderId="189" xfId="28" applyFont="1" applyFill="1" applyBorder="1" applyAlignment="1" applyProtection="1">
      <alignment horizontal="left" vertical="center"/>
      <protection hidden="1"/>
    </xf>
    <xf numFmtId="43" fontId="32" fillId="20" borderId="206" xfId="28" applyFont="1" applyFill="1" applyBorder="1" applyAlignment="1" applyProtection="1">
      <alignment horizontal="right" vertical="center"/>
      <protection hidden="1"/>
    </xf>
    <xf numFmtId="43" fontId="13" fillId="0" borderId="206" xfId="28" applyFont="1" applyFill="1" applyBorder="1" applyAlignment="1" applyProtection="1">
      <alignment horizontal="left" vertical="center" indent="1"/>
      <protection locked="0"/>
    </xf>
    <xf numFmtId="43" fontId="31" fillId="0" borderId="188" xfId="28" applyFont="1" applyFill="1" applyBorder="1" applyAlignment="1" applyProtection="1">
      <alignment horizontal="left" vertical="center"/>
      <protection hidden="1"/>
    </xf>
    <xf numFmtId="43" fontId="31" fillId="0" borderId="188" xfId="28" applyFont="1" applyFill="1" applyBorder="1" applyAlignment="1" applyProtection="1">
      <protection hidden="1"/>
    </xf>
    <xf numFmtId="43" fontId="31" fillId="0" borderId="208" xfId="28" applyFont="1" applyFill="1" applyBorder="1" applyAlignment="1">
      <alignment vertical="center"/>
    </xf>
    <xf numFmtId="43" fontId="38" fillId="0" borderId="209" xfId="28" applyFont="1" applyFill="1" applyBorder="1" applyAlignment="1" applyProtection="1">
      <alignment vertical="center"/>
      <protection locked="0"/>
    </xf>
    <xf numFmtId="43" fontId="38" fillId="0" borderId="210" xfId="28" applyFont="1" applyFill="1" applyBorder="1" applyAlignment="1">
      <alignment vertical="center"/>
    </xf>
    <xf numFmtId="43" fontId="31" fillId="0" borderId="207" xfId="28" applyFont="1" applyFill="1" applyBorder="1" applyAlignment="1">
      <alignment vertical="center"/>
    </xf>
    <xf numFmtId="43" fontId="37" fillId="25" borderId="211" xfId="28" applyFont="1" applyFill="1" applyBorder="1" applyAlignment="1" applyProtection="1">
      <alignment vertical="center"/>
    </xf>
    <xf numFmtId="43" fontId="38" fillId="0" borderId="212" xfId="28" applyFont="1" applyFill="1" applyBorder="1" applyAlignment="1">
      <alignment vertical="center"/>
    </xf>
    <xf numFmtId="43" fontId="31" fillId="0" borderId="213" xfId="28" applyFont="1" applyFill="1" applyBorder="1" applyAlignment="1">
      <alignment vertical="center"/>
    </xf>
    <xf numFmtId="43" fontId="31" fillId="0" borderId="34" xfId="28" applyFont="1" applyFill="1" applyBorder="1" applyAlignment="1" applyProtection="1">
      <alignment vertical="center"/>
      <protection hidden="1"/>
    </xf>
    <xf numFmtId="43" fontId="56" fillId="0" borderId="0" xfId="28" applyFont="1" applyFill="1" applyBorder="1" applyAlignment="1">
      <alignment vertical="center"/>
    </xf>
    <xf numFmtId="43" fontId="31" fillId="25" borderId="31" xfId="28" applyFont="1" applyFill="1" applyBorder="1" applyAlignment="1" applyProtection="1">
      <alignment vertical="center"/>
      <protection locked="0"/>
    </xf>
    <xf numFmtId="43" fontId="56" fillId="0" borderId="51" xfId="28" applyFont="1" applyFill="1" applyBorder="1" applyAlignment="1">
      <alignment vertical="center"/>
    </xf>
    <xf numFmtId="43" fontId="13" fillId="31" borderId="214" xfId="28" quotePrefix="1" applyFont="1" applyFill="1" applyBorder="1" applyAlignment="1">
      <alignment horizontal="center" vertical="center" wrapText="1"/>
    </xf>
    <xf numFmtId="43" fontId="13" fillId="31" borderId="193" xfId="28" quotePrefix="1" applyFont="1" applyFill="1" applyBorder="1" applyAlignment="1">
      <alignment horizontal="center" vertical="center" wrapText="1"/>
    </xf>
    <xf numFmtId="0" fontId="51" fillId="0" borderId="15" xfId="37" applyFill="1" applyBorder="1" applyAlignment="1" applyProtection="1">
      <alignment horizontal="left" vertical="center" indent="1"/>
      <protection locked="0"/>
    </xf>
    <xf numFmtId="49" fontId="91" fillId="0" borderId="0" xfId="28" applyNumberFormat="1" applyFont="1" applyFill="1" applyAlignment="1">
      <alignment horizontal="right" vertical="center"/>
    </xf>
    <xf numFmtId="177" fontId="31" fillId="0" borderId="0" xfId="0" applyNumberFormat="1" applyFont="1"/>
    <xf numFmtId="49" fontId="31" fillId="27" borderId="23" xfId="28" applyNumberFormat="1" applyFont="1" applyFill="1" applyBorder="1" applyAlignment="1" applyProtection="1">
      <alignment horizontal="center" vertical="center"/>
      <protection hidden="1"/>
    </xf>
    <xf numFmtId="15" fontId="31" fillId="32" borderId="13" xfId="0" applyNumberFormat="1" applyFont="1" applyFill="1" applyBorder="1" applyAlignment="1">
      <alignment horizontal="left" vertical="center"/>
    </xf>
    <xf numFmtId="43" fontId="32" fillId="32" borderId="25" xfId="28" applyFont="1" applyFill="1" applyBorder="1" applyAlignment="1">
      <alignment horizontal="right" vertical="center"/>
    </xf>
    <xf numFmtId="43" fontId="31" fillId="32" borderId="25" xfId="28" applyFont="1" applyFill="1" applyBorder="1" applyAlignment="1">
      <alignment horizontal="left" vertical="center"/>
    </xf>
    <xf numFmtId="43" fontId="31" fillId="32" borderId="18" xfId="28" applyFont="1" applyFill="1" applyBorder="1" applyAlignment="1">
      <alignment horizontal="left" vertical="center"/>
    </xf>
    <xf numFmtId="43" fontId="89" fillId="0" borderId="15" xfId="28" applyFont="1" applyFill="1" applyBorder="1" applyAlignment="1" applyProtection="1">
      <alignment horizontal="left" vertical="center"/>
      <protection locked="0"/>
    </xf>
    <xf numFmtId="10" fontId="31" fillId="0" borderId="128" xfId="46" applyNumberFormat="1" applyFont="1" applyBorder="1" applyAlignment="1">
      <alignment vertical="center"/>
    </xf>
    <xf numFmtId="1" fontId="31" fillId="0" borderId="128" xfId="46" applyNumberFormat="1" applyFont="1" applyBorder="1" applyAlignment="1">
      <alignment vertical="center"/>
    </xf>
    <xf numFmtId="0" fontId="31" fillId="0" borderId="120" xfId="46" quotePrefix="1" applyFont="1" applyBorder="1" applyAlignment="1">
      <alignment vertical="center" wrapText="1"/>
    </xf>
    <xf numFmtId="10" fontId="31" fillId="0" borderId="171" xfId="46" applyNumberFormat="1" applyFont="1" applyBorder="1" applyAlignment="1">
      <alignment vertical="center"/>
    </xf>
    <xf numFmtId="1" fontId="31" fillId="0" borderId="171" xfId="46" applyNumberFormat="1" applyFont="1" applyBorder="1" applyAlignment="1">
      <alignment vertical="center"/>
    </xf>
    <xf numFmtId="0" fontId="31" fillId="0" borderId="119" xfId="46" quotePrefix="1" applyFont="1" applyBorder="1" applyAlignment="1">
      <alignment vertical="center" wrapText="1"/>
    </xf>
    <xf numFmtId="0" fontId="31" fillId="0" borderId="218" xfId="46" quotePrefix="1" applyFont="1" applyBorder="1" applyAlignment="1">
      <alignment horizontal="center" vertical="center"/>
    </xf>
    <xf numFmtId="0" fontId="31" fillId="0" borderId="219" xfId="46" quotePrefix="1" applyFont="1" applyBorder="1" applyAlignment="1">
      <alignment horizontal="center" vertical="center"/>
    </xf>
    <xf numFmtId="0" fontId="31" fillId="0" borderId="219" xfId="46" applyFont="1" applyBorder="1" applyAlignment="1">
      <alignment horizontal="center" vertical="center"/>
    </xf>
    <xf numFmtId="0" fontId="31" fillId="0" borderId="220" xfId="46" applyFont="1" applyBorder="1" applyAlignment="1">
      <alignment horizontal="center" vertical="center" wrapText="1"/>
    </xf>
    <xf numFmtId="0" fontId="31" fillId="26" borderId="119" xfId="46" applyFont="1" applyFill="1" applyBorder="1" applyAlignment="1">
      <alignment vertical="center" wrapText="1"/>
    </xf>
    <xf numFmtId="178" fontId="31" fillId="26" borderId="129" xfId="46" applyNumberFormat="1" applyFont="1" applyFill="1" applyBorder="1" applyAlignment="1">
      <alignment vertical="center"/>
    </xf>
    <xf numFmtId="1" fontId="31" fillId="26" borderId="129" xfId="46" applyNumberFormat="1" applyFont="1" applyFill="1" applyBorder="1" applyAlignment="1">
      <alignment vertical="center"/>
    </xf>
    <xf numFmtId="10" fontId="31" fillId="26" borderId="129" xfId="46" applyNumberFormat="1" applyFont="1" applyFill="1" applyBorder="1" applyAlignment="1">
      <alignment vertical="center"/>
    </xf>
    <xf numFmtId="0" fontId="31" fillId="0" borderId="0" xfId="46" applyFont="1" applyAlignment="1">
      <alignment horizontal="left" vertical="center"/>
    </xf>
    <xf numFmtId="0" fontId="31" fillId="0" borderId="0" xfId="46" applyFont="1" applyAlignment="1">
      <alignment horizontal="right" vertical="center"/>
    </xf>
    <xf numFmtId="176" fontId="31" fillId="0" borderId="106" xfId="50" applyNumberFormat="1" applyFont="1" applyBorder="1" applyAlignment="1">
      <alignment horizontal="right" vertical="center"/>
    </xf>
    <xf numFmtId="165" fontId="31" fillId="0" borderId="106" xfId="50" applyNumberFormat="1" applyFont="1" applyBorder="1" applyAlignment="1">
      <alignment horizontal="right" vertical="center"/>
    </xf>
    <xf numFmtId="0" fontId="31" fillId="0" borderId="46" xfId="46" applyFont="1" applyBorder="1" applyAlignment="1">
      <alignment vertical="center"/>
    </xf>
    <xf numFmtId="49" fontId="31" fillId="0" borderId="116" xfId="46" applyNumberFormat="1" applyFont="1" applyBorder="1" applyAlignment="1">
      <alignment horizontal="left" vertical="center"/>
    </xf>
    <xf numFmtId="49" fontId="31" fillId="0" borderId="141" xfId="46" applyNumberFormat="1" applyFont="1" applyBorder="1" applyAlignment="1">
      <alignment horizontal="left" vertical="center"/>
    </xf>
    <xf numFmtId="0" fontId="31" fillId="0" borderId="16" xfId="46" applyFont="1" applyBorder="1" applyAlignment="1">
      <alignment vertical="center"/>
    </xf>
    <xf numFmtId="0" fontId="31" fillId="0" borderId="53" xfId="46" applyFont="1" applyBorder="1" applyAlignment="1">
      <alignment vertical="center"/>
    </xf>
    <xf numFmtId="0" fontId="31" fillId="0" borderId="52" xfId="46" applyFont="1" applyBorder="1" applyAlignment="1">
      <alignment vertical="center"/>
    </xf>
    <xf numFmtId="0" fontId="31" fillId="0" borderId="23" xfId="46" applyFont="1" applyBorder="1" applyAlignment="1">
      <alignment horizontal="left" vertical="center"/>
    </xf>
    <xf numFmtId="1" fontId="31" fillId="0" borderId="130" xfId="46" applyNumberFormat="1" applyFont="1" applyBorder="1" applyAlignment="1">
      <alignment horizontal="right" vertical="center"/>
    </xf>
    <xf numFmtId="0" fontId="31" fillId="26" borderId="0" xfId="46" applyFont="1" applyFill="1" applyAlignment="1">
      <alignment horizontal="left" vertical="center"/>
    </xf>
    <xf numFmtId="1" fontId="31" fillId="26" borderId="130" xfId="46" applyNumberFormat="1" applyFont="1" applyFill="1" applyBorder="1" applyAlignment="1">
      <alignment horizontal="right" vertical="center"/>
    </xf>
    <xf numFmtId="0" fontId="31" fillId="0" borderId="117" xfId="46" applyFont="1" applyBorder="1" applyAlignment="1">
      <alignment horizontal="left" vertical="center"/>
    </xf>
    <xf numFmtId="166" fontId="33" fillId="0" borderId="52" xfId="46" applyNumberFormat="1" applyFont="1" applyBorder="1" applyAlignment="1">
      <alignment horizontal="right" vertical="center"/>
    </xf>
    <xf numFmtId="176" fontId="31" fillId="0" borderId="35" xfId="50" applyNumberFormat="1" applyFont="1" applyBorder="1" applyAlignment="1">
      <alignment horizontal="right" vertical="center"/>
    </xf>
    <xf numFmtId="165" fontId="31" fillId="0" borderId="35" xfId="50" applyNumberFormat="1" applyFont="1" applyBorder="1" applyAlignment="1">
      <alignment horizontal="right" vertical="center"/>
    </xf>
    <xf numFmtId="0" fontId="31" fillId="0" borderId="57" xfId="46" applyFont="1" applyBorder="1" applyAlignment="1">
      <alignment vertical="center"/>
    </xf>
    <xf numFmtId="166" fontId="33" fillId="0" borderId="0" xfId="46" applyNumberFormat="1" applyFont="1" applyAlignment="1">
      <alignment horizontal="right" vertical="center"/>
    </xf>
    <xf numFmtId="0" fontId="31" fillId="0" borderId="35" xfId="46" applyFont="1" applyBorder="1" applyAlignment="1">
      <alignment vertical="center"/>
    </xf>
    <xf numFmtId="166" fontId="31" fillId="0" borderId="35" xfId="50" applyNumberFormat="1" applyFont="1" applyBorder="1" applyAlignment="1">
      <alignment vertical="center"/>
    </xf>
    <xf numFmtId="166" fontId="31" fillId="0" borderId="104" xfId="50" applyNumberFormat="1" applyFont="1" applyBorder="1" applyAlignment="1">
      <alignment vertical="center"/>
    </xf>
    <xf numFmtId="176" fontId="31" fillId="0" borderId="105" xfId="50" applyNumberFormat="1" applyFont="1" applyBorder="1" applyAlignment="1">
      <alignment horizontal="left" vertical="center" wrapText="1"/>
    </xf>
    <xf numFmtId="0" fontId="31" fillId="0" borderId="106" xfId="46" applyFont="1" applyBorder="1" applyAlignment="1">
      <alignment vertical="center"/>
    </xf>
    <xf numFmtId="166" fontId="31" fillId="0" borderId="106" xfId="46" applyNumberFormat="1" applyFont="1" applyBorder="1" applyAlignment="1">
      <alignment vertical="center"/>
    </xf>
    <xf numFmtId="166" fontId="31" fillId="0" borderId="107" xfId="46" applyNumberFormat="1" applyFont="1" applyBorder="1" applyAlignment="1">
      <alignment vertical="center"/>
    </xf>
    <xf numFmtId="0" fontId="31" fillId="26" borderId="0" xfId="46" applyFont="1" applyFill="1" applyAlignment="1">
      <alignment horizontal="left" vertical="center" wrapText="1"/>
    </xf>
    <xf numFmtId="0" fontId="32" fillId="0" borderId="52" xfId="46" applyFont="1" applyBorder="1" applyAlignment="1">
      <alignment horizontal="left" vertical="center"/>
    </xf>
    <xf numFmtId="0" fontId="32" fillId="0" borderId="52" xfId="46" applyFont="1" applyBorder="1" applyAlignment="1">
      <alignment horizontal="center" vertical="center"/>
    </xf>
    <xf numFmtId="0" fontId="32" fillId="0" borderId="35" xfId="46" applyFont="1" applyBorder="1" applyAlignment="1">
      <alignment horizontal="center" vertical="center"/>
    </xf>
    <xf numFmtId="0" fontId="32" fillId="0" borderId="35" xfId="46" applyFont="1" applyBorder="1" applyAlignment="1">
      <alignment horizontal="left" vertical="center"/>
    </xf>
    <xf numFmtId="0" fontId="78" fillId="0" borderId="0" xfId="0" applyFont="1" applyAlignment="1">
      <alignment horizontal="right" vertical="center" indent="1"/>
    </xf>
    <xf numFmtId="0" fontId="58" fillId="0" borderId="0" xfId="0" applyFont="1" applyAlignment="1">
      <alignment vertical="center"/>
    </xf>
    <xf numFmtId="0" fontId="48" fillId="0" borderId="0" xfId="37" quotePrefix="1" applyFont="1" applyAlignment="1" applyProtection="1">
      <alignment horizontal="left" vertical="center" wrapText="1"/>
    </xf>
    <xf numFmtId="43" fontId="31" fillId="0" borderId="0" xfId="28" applyFont="1" applyFill="1" applyAlignment="1">
      <alignment vertical="center"/>
    </xf>
    <xf numFmtId="43" fontId="31" fillId="0" borderId="0" xfId="28" applyFont="1" applyFill="1" applyAlignment="1">
      <alignment horizontal="right" vertical="center"/>
    </xf>
    <xf numFmtId="43" fontId="13" fillId="25" borderId="206" xfId="28" applyFont="1" applyFill="1" applyBorder="1" applyAlignment="1" applyProtection="1">
      <alignment horizontal="left" vertical="center" indent="1"/>
      <protection locked="0"/>
    </xf>
    <xf numFmtId="43" fontId="13" fillId="25" borderId="158" xfId="28" applyFont="1" applyFill="1" applyBorder="1" applyAlignment="1" applyProtection="1">
      <alignment horizontal="left" vertical="center" indent="1"/>
      <protection locked="0"/>
    </xf>
    <xf numFmtId="43" fontId="13" fillId="31" borderId="192" xfId="28" applyFont="1" applyFill="1" applyBorder="1" applyAlignment="1">
      <alignment horizontal="center" vertical="center" wrapText="1"/>
    </xf>
    <xf numFmtId="43" fontId="13" fillId="31" borderId="159" xfId="28" applyFont="1" applyFill="1" applyBorder="1" applyAlignment="1">
      <alignment horizontal="center" vertical="center" wrapText="1"/>
    </xf>
    <xf numFmtId="43" fontId="40" fillId="0" borderId="0" xfId="28" applyFont="1" applyFill="1" applyAlignment="1">
      <alignment vertical="center" wrapText="1"/>
    </xf>
    <xf numFmtId="43" fontId="40" fillId="0" borderId="146" xfId="28" applyFont="1" applyBorder="1" applyAlignment="1">
      <alignment horizontal="left" vertical="center"/>
    </xf>
    <xf numFmtId="0" fontId="41" fillId="0" borderId="150" xfId="0" applyFont="1" applyBorder="1" applyAlignment="1">
      <alignment horizontal="left" vertical="center"/>
    </xf>
    <xf numFmtId="43" fontId="56" fillId="0" borderId="0" xfId="28" applyFont="1" applyFill="1" applyBorder="1" applyAlignment="1">
      <alignment horizontal="right" vertical="center"/>
    </xf>
    <xf numFmtId="43" fontId="70" fillId="24" borderId="51" xfId="28" applyFont="1" applyFill="1" applyBorder="1" applyAlignment="1" applyProtection="1">
      <alignment horizontal="right" vertical="center"/>
      <protection hidden="1"/>
    </xf>
    <xf numFmtId="43" fontId="70" fillId="24" borderId="131" xfId="28" applyFont="1" applyFill="1" applyBorder="1" applyAlignment="1" applyProtection="1">
      <alignment horizontal="right" vertical="center"/>
      <protection hidden="1"/>
    </xf>
    <xf numFmtId="43" fontId="9" fillId="0" borderId="63" xfId="28" applyFont="1" applyBorder="1" applyAlignment="1">
      <alignment horizontal="left" vertical="center"/>
    </xf>
    <xf numFmtId="49" fontId="28" fillId="0" borderId="59" xfId="28" applyNumberFormat="1" applyFont="1" applyBorder="1" applyAlignment="1" applyProtection="1">
      <alignment horizontal="center" vertical="center" wrapText="1"/>
      <protection locked="0"/>
    </xf>
    <xf numFmtId="49" fontId="28" fillId="0" borderId="60" xfId="28" applyNumberFormat="1" applyFont="1" applyBorder="1" applyAlignment="1" applyProtection="1">
      <alignment horizontal="center" vertical="center" wrapText="1"/>
      <protection locked="0"/>
    </xf>
    <xf numFmtId="49" fontId="8" fillId="0" borderId="59" xfId="28" applyNumberFormat="1" applyFont="1" applyBorder="1" applyAlignment="1" applyProtection="1">
      <alignment horizontal="center" vertical="center" wrapText="1"/>
      <protection locked="0"/>
    </xf>
    <xf numFmtId="49" fontId="8" fillId="0" borderId="60" xfId="28" applyNumberFormat="1" applyFont="1" applyBorder="1" applyAlignment="1" applyProtection="1">
      <alignment horizontal="center" vertical="center" wrapText="1"/>
      <protection locked="0"/>
    </xf>
    <xf numFmtId="0" fontId="9" fillId="0" borderId="64" xfId="0" applyFont="1" applyBorder="1" applyAlignment="1">
      <alignment horizontal="left" vertical="center" wrapText="1"/>
    </xf>
    <xf numFmtId="0" fontId="9" fillId="0" borderId="63" xfId="0" applyFont="1" applyBorder="1" applyAlignment="1">
      <alignment horizontal="left" vertical="center" wrapText="1"/>
    </xf>
    <xf numFmtId="0" fontId="9" fillId="0" borderId="65" xfId="0" applyFont="1" applyBorder="1" applyAlignment="1">
      <alignment horizontal="left" vertical="center" wrapText="1"/>
    </xf>
    <xf numFmtId="0" fontId="9" fillId="0" borderId="11" xfId="0" applyFont="1" applyBorder="1" applyAlignment="1">
      <alignment horizontal="left" vertical="center" wrapText="1"/>
    </xf>
    <xf numFmtId="49" fontId="28" fillId="0" borderId="59" xfId="28" applyNumberFormat="1" applyFont="1" applyBorder="1" applyAlignment="1">
      <alignment horizontal="center" vertical="center" wrapText="1"/>
    </xf>
    <xf numFmtId="49" fontId="28" fillId="0" borderId="60" xfId="28" applyNumberFormat="1" applyFont="1" applyBorder="1" applyAlignment="1">
      <alignment horizontal="center" vertical="center" wrapText="1"/>
    </xf>
    <xf numFmtId="49" fontId="45" fillId="0" borderId="59" xfId="28" applyNumberFormat="1" applyFont="1" applyBorder="1" applyAlignment="1" applyProtection="1">
      <alignment horizontal="center" vertical="center" wrapText="1"/>
      <protection locked="0"/>
    </xf>
    <xf numFmtId="49" fontId="45" fillId="0" borderId="60" xfId="28" applyNumberFormat="1" applyFont="1" applyBorder="1" applyAlignment="1" applyProtection="1">
      <alignment horizontal="center" vertical="center" wrapText="1"/>
      <protection locked="0"/>
    </xf>
    <xf numFmtId="43" fontId="28" fillId="0" borderId="59" xfId="28" applyFont="1" applyBorder="1" applyAlignment="1" applyProtection="1">
      <alignment horizontal="center" vertical="center" wrapText="1"/>
      <protection locked="0"/>
    </xf>
    <xf numFmtId="43" fontId="28" fillId="0" borderId="60" xfId="28" applyFont="1" applyBorder="1" applyAlignment="1" applyProtection="1">
      <alignment horizontal="center" vertical="center" wrapText="1"/>
      <protection locked="0"/>
    </xf>
    <xf numFmtId="166" fontId="28" fillId="0" borderId="61" xfId="28" applyNumberFormat="1" applyFont="1" applyBorder="1" applyAlignment="1">
      <alignment horizontal="center" vertical="center" wrapText="1"/>
    </xf>
    <xf numFmtId="166" fontId="28" fillId="0" borderId="62" xfId="28" applyNumberFormat="1" applyFont="1" applyBorder="1" applyAlignment="1">
      <alignment horizontal="center" vertical="center" wrapText="1"/>
    </xf>
    <xf numFmtId="43" fontId="28" fillId="0" borderId="61" xfId="28" applyFont="1" applyBorder="1" applyAlignment="1">
      <alignment horizontal="center" vertical="center" wrapText="1"/>
    </xf>
    <xf numFmtId="43" fontId="28" fillId="0" borderId="62" xfId="28" applyFont="1" applyBorder="1" applyAlignment="1">
      <alignment horizontal="center" vertical="center" wrapText="1"/>
    </xf>
    <xf numFmtId="0" fontId="52" fillId="24" borderId="16" xfId="0" applyFont="1" applyFill="1" applyBorder="1" applyAlignment="1">
      <alignment horizontal="center" vertical="center" wrapText="1"/>
    </xf>
    <xf numFmtId="49" fontId="66" fillId="24" borderId="15" xfId="0" applyNumberFormat="1" applyFont="1" applyFill="1" applyBorder="1" applyAlignment="1" applyProtection="1">
      <alignment horizontal="center" vertical="center"/>
      <protection locked="0"/>
    </xf>
    <xf numFmtId="43" fontId="31" fillId="24" borderId="24" xfId="28" applyFont="1" applyFill="1" applyBorder="1" applyAlignment="1" applyProtection="1">
      <alignment horizontal="right" vertical="center" indent="1"/>
      <protection hidden="1"/>
    </xf>
    <xf numFmtId="43" fontId="31" fillId="24" borderId="15" xfId="28" applyFont="1" applyFill="1" applyBorder="1" applyAlignment="1" applyProtection="1">
      <alignment horizontal="left" vertical="center"/>
      <protection locked="0"/>
    </xf>
    <xf numFmtId="15" fontId="31" fillId="24" borderId="13" xfId="0" applyNumberFormat="1" applyFont="1" applyFill="1" applyBorder="1" applyAlignment="1" applyProtection="1">
      <alignment vertical="center"/>
      <protection locked="0"/>
    </xf>
    <xf numFmtId="49" fontId="31" fillId="24" borderId="15" xfId="0" applyNumberFormat="1" applyFont="1" applyFill="1" applyBorder="1" applyAlignment="1" applyProtection="1">
      <alignment horizontal="left" vertical="center"/>
      <protection locked="0"/>
    </xf>
    <xf numFmtId="0" fontId="52" fillId="0" borderId="16" xfId="0" applyFont="1" applyBorder="1" applyAlignment="1">
      <alignment horizontal="center" vertical="center" wrapText="1"/>
    </xf>
    <xf numFmtId="43" fontId="31" fillId="0" borderId="24" xfId="28" applyFont="1" applyFill="1" applyBorder="1" applyAlignment="1" applyProtection="1">
      <alignment horizontal="right" vertical="center" indent="1"/>
      <protection hidden="1"/>
    </xf>
    <xf numFmtId="15" fontId="31" fillId="0" borderId="13" xfId="0" applyNumberFormat="1" applyFont="1" applyBorder="1" applyAlignment="1" applyProtection="1">
      <alignment vertical="center"/>
      <protection locked="0"/>
    </xf>
    <xf numFmtId="49" fontId="31" fillId="0" borderId="15" xfId="0" applyNumberFormat="1" applyFont="1" applyBorder="1" applyAlignment="1" applyProtection="1">
      <alignment horizontal="left" vertical="center"/>
      <protection locked="0"/>
    </xf>
    <xf numFmtId="49" fontId="66" fillId="0" borderId="15" xfId="0" applyNumberFormat="1" applyFont="1" applyBorder="1" applyAlignment="1" applyProtection="1">
      <alignment horizontal="center" vertical="center"/>
      <protection locked="0"/>
    </xf>
    <xf numFmtId="43" fontId="31" fillId="0" borderId="15" xfId="28" applyFont="1" applyFill="1" applyBorder="1" applyAlignment="1" applyProtection="1">
      <alignment horizontal="left" vertical="center"/>
      <protection locked="0"/>
    </xf>
    <xf numFmtId="49" fontId="31" fillId="24" borderId="15" xfId="28" applyNumberFormat="1" applyFont="1" applyFill="1" applyBorder="1" applyAlignment="1" applyProtection="1">
      <alignment horizontal="left" vertical="center"/>
      <protection hidden="1"/>
    </xf>
    <xf numFmtId="43" fontId="48" fillId="30" borderId="24" xfId="60" applyNumberFormat="1" applyFont="1" applyBorder="1" applyAlignment="1" applyProtection="1">
      <alignment horizontal="right" vertical="center" indent="1"/>
      <protection hidden="1"/>
    </xf>
    <xf numFmtId="15" fontId="2" fillId="30" borderId="13" xfId="60" applyNumberFormat="1" applyBorder="1" applyAlignment="1" applyProtection="1">
      <alignment vertical="center"/>
      <protection locked="0"/>
    </xf>
    <xf numFmtId="49" fontId="2" fillId="30" borderId="15" xfId="60" applyNumberFormat="1" applyBorder="1" applyAlignment="1" applyProtection="1">
      <alignment horizontal="left" vertical="center"/>
      <protection hidden="1"/>
    </xf>
    <xf numFmtId="49" fontId="2" fillId="30" borderId="15" xfId="60" applyNumberFormat="1" applyBorder="1" applyAlignment="1" applyProtection="1">
      <alignment horizontal="center" vertical="center"/>
      <protection locked="0"/>
    </xf>
    <xf numFmtId="43" fontId="2" fillId="30" borderId="15" xfId="60" applyNumberFormat="1" applyBorder="1" applyAlignment="1" applyProtection="1">
      <alignment horizontal="left" vertical="center"/>
      <protection locked="0"/>
    </xf>
    <xf numFmtId="49" fontId="31" fillId="0" borderId="15" xfId="28" applyNumberFormat="1" applyFont="1" applyFill="1" applyBorder="1" applyAlignment="1" applyProtection="1">
      <alignment horizontal="left" vertical="center"/>
      <protection hidden="1"/>
    </xf>
    <xf numFmtId="49" fontId="2" fillId="30" borderId="15" xfId="60" applyNumberFormat="1" applyBorder="1" applyAlignment="1" applyProtection="1">
      <alignment horizontal="left" vertical="center"/>
      <protection locked="0"/>
    </xf>
    <xf numFmtId="43" fontId="31" fillId="0" borderId="0" xfId="0" applyNumberFormat="1" applyFont="1"/>
    <xf numFmtId="43" fontId="31" fillId="0" borderId="16" xfId="0" applyNumberFormat="1" applyFont="1" applyBorder="1"/>
    <xf numFmtId="0" fontId="48" fillId="0" borderId="0" xfId="0" applyFont="1" applyAlignment="1">
      <alignment horizontal="left" vertical="center" indent="1"/>
    </xf>
    <xf numFmtId="176" fontId="31" fillId="0" borderId="52" xfId="46" applyNumberFormat="1" applyFont="1" applyBorder="1" applyAlignment="1">
      <alignment vertical="center" wrapText="1"/>
    </xf>
    <xf numFmtId="176" fontId="31" fillId="0" borderId="35" xfId="46" applyNumberFormat="1" applyFont="1" applyBorder="1" applyAlignment="1">
      <alignment vertical="center" wrapText="1"/>
    </xf>
    <xf numFmtId="165" fontId="31" fillId="0" borderId="52" xfId="50" applyNumberFormat="1" applyFont="1" applyBorder="1" applyAlignment="1">
      <alignment vertical="center"/>
    </xf>
    <xf numFmtId="165" fontId="31" fillId="0" borderId="35" xfId="50" applyNumberFormat="1" applyFont="1" applyBorder="1" applyAlignment="1">
      <alignment vertical="center"/>
    </xf>
    <xf numFmtId="0" fontId="32" fillId="0" borderId="55" xfId="46" applyFont="1" applyBorder="1" applyAlignment="1">
      <alignment horizontal="center" vertical="center"/>
    </xf>
    <xf numFmtId="0" fontId="32" fillId="0" borderId="104" xfId="46" applyFont="1" applyBorder="1" applyAlignment="1">
      <alignment horizontal="center" vertical="center"/>
    </xf>
    <xf numFmtId="0" fontId="42" fillId="23" borderId="0" xfId="46" applyFont="1" applyFill="1" applyAlignment="1">
      <alignment horizontal="left" vertical="center" wrapText="1"/>
    </xf>
    <xf numFmtId="0" fontId="42" fillId="23" borderId="35" xfId="46" applyFont="1" applyFill="1" applyBorder="1" applyAlignment="1">
      <alignment horizontal="left" vertical="center" wrapText="1"/>
    </xf>
    <xf numFmtId="0" fontId="32" fillId="0" borderId="55" xfId="46" quotePrefix="1" applyFont="1" applyBorder="1" applyAlignment="1">
      <alignment horizontal="center" vertical="center"/>
    </xf>
    <xf numFmtId="0" fontId="31" fillId="0" borderId="16" xfId="46" applyFont="1" applyBorder="1" applyAlignment="1">
      <alignment horizontal="center" vertical="center" wrapText="1"/>
    </xf>
    <xf numFmtId="0" fontId="31" fillId="0" borderId="0" xfId="46" applyFont="1" applyAlignment="1">
      <alignment horizontal="center" vertical="center" wrapText="1"/>
    </xf>
    <xf numFmtId="0" fontId="31" fillId="0" borderId="53" xfId="46" applyFont="1" applyBorder="1" applyAlignment="1">
      <alignment horizontal="center" vertical="center" wrapText="1"/>
    </xf>
    <xf numFmtId="0" fontId="31" fillId="0" borderId="57" xfId="46" applyFont="1" applyBorder="1" applyAlignment="1">
      <alignment horizontal="center" vertical="center" wrapText="1"/>
    </xf>
    <xf numFmtId="166" fontId="31" fillId="0" borderId="52" xfId="46" applyNumberFormat="1" applyFont="1" applyBorder="1" applyAlignment="1">
      <alignment horizontal="center" vertical="center"/>
    </xf>
    <xf numFmtId="166" fontId="31" fillId="0" borderId="55" xfId="46" applyNumberFormat="1" applyFont="1" applyBorder="1" applyAlignment="1">
      <alignment horizontal="center" vertical="center"/>
    </xf>
    <xf numFmtId="166" fontId="31" fillId="0" borderId="35" xfId="46" applyNumberFormat="1" applyFont="1" applyBorder="1" applyAlignment="1">
      <alignment horizontal="center" vertical="center"/>
    </xf>
    <xf numFmtId="166" fontId="31" fillId="0" borderId="104" xfId="46" applyNumberFormat="1" applyFont="1" applyBorder="1" applyAlignment="1">
      <alignment horizontal="center" vertical="center"/>
    </xf>
    <xf numFmtId="177" fontId="31" fillId="0" borderId="112" xfId="46" applyNumberFormat="1" applyFont="1" applyBorder="1" applyAlignment="1">
      <alignment vertical="center" wrapText="1"/>
    </xf>
    <xf numFmtId="177" fontId="31" fillId="0" borderId="114" xfId="46" applyNumberFormat="1" applyFont="1" applyBorder="1" applyAlignment="1">
      <alignment vertical="center" wrapText="1"/>
    </xf>
    <xf numFmtId="177" fontId="31" fillId="0" borderId="142" xfId="46" applyNumberFormat="1" applyFont="1" applyBorder="1" applyAlignment="1">
      <alignment vertical="center" wrapText="1"/>
    </xf>
    <xf numFmtId="166" fontId="31" fillId="0" borderId="113" xfId="50" applyNumberFormat="1" applyFont="1" applyBorder="1" applyAlignment="1">
      <alignment vertical="center" wrapText="1"/>
    </xf>
    <xf numFmtId="166" fontId="31" fillId="0" borderId="115" xfId="50" applyNumberFormat="1" applyFont="1" applyBorder="1" applyAlignment="1">
      <alignment vertical="center" wrapText="1"/>
    </xf>
    <xf numFmtId="166" fontId="31" fillId="0" borderId="143" xfId="50" applyNumberFormat="1" applyFont="1" applyBorder="1" applyAlignment="1">
      <alignment vertical="center" wrapText="1"/>
    </xf>
    <xf numFmtId="166" fontId="31" fillId="0" borderId="215" xfId="50" applyNumberFormat="1" applyFont="1" applyBorder="1" applyAlignment="1">
      <alignment vertical="center" wrapText="1"/>
    </xf>
    <xf numFmtId="166" fontId="31" fillId="0" borderId="216" xfId="50" applyNumberFormat="1" applyFont="1" applyBorder="1" applyAlignment="1">
      <alignment vertical="center" wrapText="1"/>
    </xf>
    <xf numFmtId="166" fontId="31" fillId="0" borderId="217" xfId="50" applyNumberFormat="1" applyFont="1" applyBorder="1" applyAlignment="1">
      <alignment vertical="center" wrapText="1"/>
    </xf>
    <xf numFmtId="43" fontId="31" fillId="0" borderId="52" xfId="50" applyFont="1" applyBorder="1" applyAlignment="1">
      <alignment vertical="center" wrapText="1"/>
    </xf>
    <xf numFmtId="43" fontId="31" fillId="0" borderId="0" xfId="50" applyFont="1" applyBorder="1" applyAlignment="1">
      <alignment vertical="center" wrapText="1"/>
    </xf>
    <xf numFmtId="43" fontId="31" fillId="0" borderId="35" xfId="50" applyFont="1" applyBorder="1" applyAlignment="1">
      <alignment vertical="center" wrapText="1"/>
    </xf>
    <xf numFmtId="177" fontId="31" fillId="0" borderId="124" xfId="46" applyNumberFormat="1" applyFont="1" applyBorder="1" applyAlignment="1">
      <alignment vertical="center" wrapText="1"/>
    </xf>
    <xf numFmtId="177" fontId="31" fillId="0" borderId="125" xfId="46" applyNumberFormat="1" applyFont="1" applyBorder="1" applyAlignment="1">
      <alignment vertical="center" wrapText="1"/>
    </xf>
    <xf numFmtId="177" fontId="31" fillId="0" borderId="126" xfId="46" applyNumberFormat="1" applyFont="1" applyBorder="1" applyAlignment="1">
      <alignment vertical="center" wrapText="1"/>
    </xf>
    <xf numFmtId="0" fontId="32" fillId="0" borderId="53" xfId="46" applyFont="1" applyBorder="1" applyAlignment="1">
      <alignment horizontal="center" vertical="center"/>
    </xf>
    <xf numFmtId="0" fontId="32" fillId="0" borderId="57" xfId="46" applyFont="1" applyBorder="1" applyAlignment="1">
      <alignment horizontal="center" vertical="center"/>
    </xf>
    <xf numFmtId="0" fontId="32" fillId="0" borderId="52" xfId="46" applyFont="1" applyBorder="1" applyAlignment="1">
      <alignment horizontal="center" vertical="center" wrapText="1"/>
    </xf>
    <xf numFmtId="0" fontId="32" fillId="0" borderId="35" xfId="46" applyFont="1" applyBorder="1" applyAlignment="1">
      <alignment horizontal="center" vertical="center" wrapText="1"/>
    </xf>
    <xf numFmtId="176" fontId="31" fillId="0" borderId="53" xfId="46" applyNumberFormat="1" applyFont="1" applyBorder="1" applyAlignment="1">
      <alignment horizontal="center" vertical="center" wrapText="1"/>
    </xf>
    <xf numFmtId="176" fontId="31" fillId="0" borderId="57" xfId="46" applyNumberFormat="1"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172" fontId="48" fillId="0" borderId="103" xfId="46" applyNumberFormat="1" applyFont="1" applyBorder="1" applyAlignment="1">
      <alignment horizontal="left" vertical="center" wrapText="1"/>
    </xf>
    <xf numFmtId="0" fontId="48" fillId="0" borderId="14" xfId="46" applyFont="1" applyBorder="1" applyAlignment="1">
      <alignment vertical="center" wrapText="1"/>
    </xf>
    <xf numFmtId="0" fontId="48" fillId="0" borderId="73" xfId="46" applyFont="1" applyBorder="1"/>
    <xf numFmtId="43" fontId="48" fillId="0" borderId="76" xfId="28" applyFont="1" applyFill="1" applyBorder="1" applyAlignment="1">
      <alignment horizontal="center" vertical="center"/>
    </xf>
    <xf numFmtId="43" fontId="48" fillId="0" borderId="96" xfId="28" applyFont="1" applyFill="1" applyBorder="1" applyAlignment="1">
      <alignment horizontal="center" vertical="center"/>
    </xf>
    <xf numFmtId="0" fontId="72" fillId="26" borderId="22" xfId="46" applyFont="1" applyFill="1" applyBorder="1" applyAlignment="1">
      <alignment horizontal="right" vertical="center" wrapText="1"/>
    </xf>
    <xf numFmtId="0" fontId="72" fillId="26" borderId="150" xfId="46" applyFont="1" applyFill="1" applyBorder="1" applyAlignment="1">
      <alignment horizontal="right" vertical="center" wrapText="1"/>
    </xf>
    <xf numFmtId="179" fontId="48" fillId="26" borderId="76" xfId="46" applyNumberFormat="1" applyFont="1" applyFill="1" applyBorder="1" applyAlignment="1">
      <alignment horizontal="left" vertical="center"/>
    </xf>
    <xf numFmtId="179" fontId="48" fillId="26" borderId="72" xfId="46" applyNumberFormat="1" applyFont="1" applyFill="1" applyBorder="1" applyAlignment="1">
      <alignment horizontal="left" vertical="center"/>
    </xf>
    <xf numFmtId="173" fontId="48" fillId="26" borderId="170" xfId="46" applyNumberFormat="1" applyFont="1" applyFill="1" applyBorder="1" applyAlignment="1">
      <alignment vertical="center"/>
    </xf>
    <xf numFmtId="173" fontId="48" fillId="26" borderId="169" xfId="46" applyNumberFormat="1" applyFont="1" applyFill="1" applyBorder="1" applyAlignment="1">
      <alignment vertical="center"/>
    </xf>
    <xf numFmtId="0" fontId="48" fillId="26" borderId="76" xfId="46" applyFont="1" applyFill="1" applyBorder="1" applyAlignment="1">
      <alignment vertical="center" wrapText="1"/>
    </xf>
    <xf numFmtId="0" fontId="48" fillId="26" borderId="72" xfId="46" applyFont="1" applyFill="1" applyBorder="1" applyAlignment="1">
      <alignment vertical="center" wrapText="1"/>
    </xf>
    <xf numFmtId="0" fontId="48" fillId="0" borderId="0" xfId="46" applyFont="1" applyAlignment="1">
      <alignment horizontal="center"/>
    </xf>
    <xf numFmtId="0" fontId="48" fillId="0" borderId="86" xfId="46" applyFont="1" applyBorder="1" applyAlignment="1">
      <alignment horizontal="left" vertical="center" wrapText="1" indent="1"/>
    </xf>
    <xf numFmtId="0" fontId="48" fillId="0" borderId="83" xfId="46" applyFont="1" applyBorder="1" applyAlignment="1">
      <alignment horizontal="left" vertical="center" wrapText="1" indent="1"/>
    </xf>
    <xf numFmtId="0" fontId="48" fillId="0" borderId="77" xfId="46" applyFont="1" applyBorder="1" applyAlignment="1">
      <alignment horizontal="left" vertical="center" wrapText="1"/>
    </xf>
    <xf numFmtId="0" fontId="48" fillId="0" borderId="80" xfId="46" applyFont="1" applyBorder="1" applyAlignment="1">
      <alignment horizontal="left" vertical="center" wrapText="1"/>
    </xf>
    <xf numFmtId="0" fontId="48" fillId="0" borderId="78" xfId="46" applyFont="1" applyBorder="1" applyAlignment="1">
      <alignment horizontal="left" vertical="center" wrapText="1"/>
    </xf>
    <xf numFmtId="0" fontId="48" fillId="0" borderId="72" xfId="46" applyFont="1" applyBorder="1" applyAlignment="1">
      <alignment horizontal="left" vertical="center" wrapText="1"/>
    </xf>
    <xf numFmtId="0" fontId="48" fillId="0" borderId="79" xfId="46" applyFont="1" applyBorder="1" applyAlignment="1">
      <alignment vertical="center" wrapText="1"/>
    </xf>
    <xf numFmtId="0" fontId="48" fillId="0" borderId="81" xfId="46" applyFont="1" applyBorder="1" applyAlignment="1">
      <alignment horizontal="left" vertical="center" wrapText="1"/>
    </xf>
    <xf numFmtId="0" fontId="48" fillId="0" borderId="85" xfId="46" applyFont="1" applyBorder="1" applyAlignment="1">
      <alignment horizontal="left" vertical="center" wrapText="1"/>
    </xf>
    <xf numFmtId="43" fontId="48" fillId="22" borderId="86" xfId="28" applyFont="1" applyFill="1" applyBorder="1" applyAlignment="1">
      <alignment horizontal="center" vertical="center"/>
    </xf>
    <xf numFmtId="43" fontId="48" fillId="22" borderId="76" xfId="28" applyFont="1" applyFill="1" applyBorder="1" applyAlignment="1">
      <alignment horizontal="center" vertical="center"/>
    </xf>
    <xf numFmtId="180" fontId="48" fillId="26" borderId="76" xfId="46" applyNumberFormat="1" applyFont="1" applyFill="1" applyBorder="1" applyAlignment="1">
      <alignment vertical="center" wrapText="1"/>
    </xf>
    <xf numFmtId="180" fontId="48" fillId="24" borderId="76" xfId="46" applyNumberFormat="1" applyFont="1" applyFill="1" applyBorder="1" applyAlignment="1">
      <alignment vertical="center" wrapText="1"/>
    </xf>
    <xf numFmtId="0" fontId="72" fillId="26" borderId="76" xfId="46" applyFont="1" applyFill="1" applyBorder="1" applyAlignment="1">
      <alignment horizontal="right" vertical="center" wrapText="1"/>
    </xf>
    <xf numFmtId="0" fontId="48" fillId="0" borderId="88" xfId="46" applyFont="1" applyBorder="1" applyAlignment="1">
      <alignment horizontal="left" vertical="center" wrapText="1"/>
    </xf>
    <xf numFmtId="0" fontId="48" fillId="0" borderId="89" xfId="46" applyFont="1" applyBorder="1" applyAlignment="1">
      <alignment horizontal="left" vertical="center" wrapText="1"/>
    </xf>
    <xf numFmtId="0" fontId="1" fillId="0" borderId="0" xfId="64" applyAlignment="1">
      <alignment vertical="center"/>
    </xf>
    <xf numFmtId="0" fontId="32" fillId="0" borderId="221" xfId="46" applyFont="1" applyBorder="1" applyAlignment="1">
      <alignment horizontal="center" vertical="center" wrapText="1"/>
    </xf>
    <xf numFmtId="0" fontId="32" fillId="0" borderId="60" xfId="46" applyFont="1" applyBorder="1" applyAlignment="1">
      <alignment horizontal="center" vertical="center" wrapText="1"/>
    </xf>
    <xf numFmtId="10" fontId="31" fillId="0" borderId="112" xfId="65" applyNumberFormat="1" applyFont="1" applyBorder="1" applyAlignment="1">
      <alignment vertical="center"/>
    </xf>
    <xf numFmtId="166" fontId="31" fillId="0" borderId="113" xfId="50" applyNumberFormat="1" applyFont="1" applyFill="1" applyBorder="1" applyAlignment="1">
      <alignment vertical="center"/>
    </xf>
    <xf numFmtId="166" fontId="31" fillId="0" borderId="221" xfId="50" applyNumberFormat="1" applyFont="1" applyFill="1" applyBorder="1" applyAlignment="1">
      <alignment vertical="center"/>
    </xf>
    <xf numFmtId="10" fontId="31" fillId="0" borderId="142" xfId="65" applyNumberFormat="1" applyFont="1" applyBorder="1" applyAlignment="1">
      <alignment vertical="center"/>
    </xf>
    <xf numFmtId="166" fontId="31" fillId="0" borderId="115" xfId="50" applyNumberFormat="1" applyFont="1" applyFill="1" applyBorder="1" applyAlignment="1">
      <alignment vertical="center"/>
    </xf>
    <xf numFmtId="166" fontId="31" fillId="0" borderId="60" xfId="50" applyNumberFormat="1" applyFont="1" applyFill="1" applyBorder="1" applyAlignment="1">
      <alignment vertical="center"/>
    </xf>
    <xf numFmtId="166" fontId="31" fillId="0" borderId="106" xfId="46" applyNumberFormat="1" applyFont="1" applyBorder="1" applyAlignment="1">
      <alignment vertical="center" wrapText="1"/>
    </xf>
    <xf numFmtId="9" fontId="31" fillId="0" borderId="110" xfId="65" applyFont="1" applyBorder="1" applyAlignment="1">
      <alignment vertical="center"/>
    </xf>
    <xf numFmtId="166" fontId="31" fillId="0" borderId="222" xfId="50" applyNumberFormat="1" applyFont="1" applyFill="1" applyBorder="1" applyAlignment="1">
      <alignment vertical="center"/>
    </xf>
    <xf numFmtId="166" fontId="31" fillId="0" borderId="130" xfId="50" applyNumberFormat="1" applyFont="1" applyBorder="1" applyAlignment="1">
      <alignment horizontal="right" vertical="center"/>
    </xf>
    <xf numFmtId="166" fontId="31" fillId="26" borderId="130" xfId="50" applyNumberFormat="1" applyFont="1" applyFill="1" applyBorder="1" applyAlignment="1">
      <alignment horizontal="right" vertical="center"/>
    </xf>
    <xf numFmtId="166" fontId="31" fillId="0" borderId="130" xfId="50" applyNumberFormat="1" applyFont="1" applyFill="1" applyBorder="1" applyAlignment="1">
      <alignment horizontal="right" vertical="center"/>
    </xf>
    <xf numFmtId="0" fontId="31" fillId="0" borderId="23" xfId="46" applyFont="1" applyBorder="1" applyAlignment="1">
      <alignment horizontal="left" vertical="center" wrapText="1"/>
    </xf>
    <xf numFmtId="166" fontId="31" fillId="0" borderId="16" xfId="50" applyNumberFormat="1" applyFont="1" applyBorder="1" applyAlignment="1">
      <alignment vertical="center"/>
    </xf>
    <xf numFmtId="182" fontId="43" fillId="0" borderId="54" xfId="28" applyNumberFormat="1" applyFont="1" applyBorder="1"/>
    <xf numFmtId="182" fontId="43" fillId="0" borderId="0" xfId="28" applyNumberFormat="1" applyFont="1" applyBorder="1" applyProtection="1">
      <protection hidden="1"/>
    </xf>
  </cellXfs>
  <cellStyles count="66">
    <cellStyle name="20% - Accent1" xfId="60" builtinId="30"/>
    <cellStyle name="Accent1" xfId="1" builtinId="29" customBuiltin="1"/>
    <cellStyle name="Accent1 - 20%" xfId="2" xr:uid="{00000000-0005-0000-0000-000001000000}"/>
    <cellStyle name="Accent1 - 40%" xfId="3" xr:uid="{00000000-0005-0000-0000-000002000000}"/>
    <cellStyle name="Accent1 - 60%" xfId="4" xr:uid="{00000000-0005-0000-0000-000003000000}"/>
    <cellStyle name="Accent2" xfId="5" builtinId="33" customBuiltin="1"/>
    <cellStyle name="Accent2 - 20%" xfId="6" xr:uid="{00000000-0005-0000-0000-000005000000}"/>
    <cellStyle name="Accent2 - 40%" xfId="7" xr:uid="{00000000-0005-0000-0000-000006000000}"/>
    <cellStyle name="Accent2 - 60%" xfId="8" xr:uid="{00000000-0005-0000-0000-000007000000}"/>
    <cellStyle name="Accent3" xfId="9" builtinId="37" customBuiltin="1"/>
    <cellStyle name="Accent3 - 20%" xfId="10" xr:uid="{00000000-0005-0000-0000-000009000000}"/>
    <cellStyle name="Accent3 - 40%" xfId="11" xr:uid="{00000000-0005-0000-0000-00000A000000}"/>
    <cellStyle name="Accent3 - 60%" xfId="12" xr:uid="{00000000-0005-0000-0000-00000B000000}"/>
    <cellStyle name="Accent4" xfId="13" builtinId="41" customBuiltin="1"/>
    <cellStyle name="Accent4 - 20%" xfId="14" xr:uid="{00000000-0005-0000-0000-00000D000000}"/>
    <cellStyle name="Accent4 - 40%" xfId="15" xr:uid="{00000000-0005-0000-0000-00000E000000}"/>
    <cellStyle name="Accent4 - 60%" xfId="16" xr:uid="{00000000-0005-0000-0000-00000F000000}"/>
    <cellStyle name="Accent5" xfId="17" builtinId="45" customBuiltin="1"/>
    <cellStyle name="Accent5 - 20%" xfId="18" xr:uid="{00000000-0005-0000-0000-000011000000}"/>
    <cellStyle name="Accent5 - 40%" xfId="19" xr:uid="{00000000-0005-0000-0000-000012000000}"/>
    <cellStyle name="Accent5 - 60%" xfId="20" xr:uid="{00000000-0005-0000-0000-000013000000}"/>
    <cellStyle name="Accent6" xfId="21" builtinId="49" customBuiltin="1"/>
    <cellStyle name="Accent6 - 20%" xfId="22" xr:uid="{00000000-0005-0000-0000-000015000000}"/>
    <cellStyle name="Accent6 - 40%" xfId="23" xr:uid="{00000000-0005-0000-0000-000016000000}"/>
    <cellStyle name="Accent6 - 60%" xfId="24" xr:uid="{00000000-0005-0000-0000-000017000000}"/>
    <cellStyle name="Bad" xfId="25" builtinId="27" customBuiltin="1"/>
    <cellStyle name="Calculation" xfId="26" builtinId="22" customBuiltin="1"/>
    <cellStyle name="Check Cell" xfId="27" builtinId="23" customBuiltin="1"/>
    <cellStyle name="Comma" xfId="28" builtinId="3"/>
    <cellStyle name="Comma 2" xfId="47" xr:uid="{00000000-0005-0000-0000-00001C000000}"/>
    <cellStyle name="Comma 2 2" xfId="50" xr:uid="{00000000-0005-0000-0000-00001D000000}"/>
    <cellStyle name="Comma 2 3" xfId="57" xr:uid="{5AEC169F-5E0B-4FAD-9C72-917965AF7AD8}"/>
    <cellStyle name="Comma 3" xfId="51" xr:uid="{6452B4B5-9044-4B53-9E7B-B9FC62E07CD2}"/>
    <cellStyle name="Comma 3 2" xfId="55" xr:uid="{71D52E3E-39EC-4780-AD1C-E077E1E24B8F}"/>
    <cellStyle name="Comma 4" xfId="58" xr:uid="{A8A7E88C-8CC6-4813-B415-2A91CCC09EE1}"/>
    <cellStyle name="Comma 4 2" xfId="61" xr:uid="{82BB47F8-FEA9-4488-9173-57FDF8E76131}"/>
    <cellStyle name="Comma 5" xfId="59" xr:uid="{E6272B3E-7713-4E2D-BADE-85C58266E528}"/>
    <cellStyle name="Emphasis 1" xfId="29" xr:uid="{00000000-0005-0000-0000-00001E000000}"/>
    <cellStyle name="Emphasis 2" xfId="30" xr:uid="{00000000-0005-0000-0000-00001F000000}"/>
    <cellStyle name="Emphasis 3" xfId="31" xr:uid="{00000000-0005-0000-0000-000020000000}"/>
    <cellStyle name="Followed Hyperlink" xfId="49" builtinId="9"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ustomBuiltin="1"/>
    <cellStyle name="Input" xfId="38" builtinId="20" customBuiltin="1"/>
    <cellStyle name="Linked Cell" xfId="39" builtinId="24" customBuiltin="1"/>
    <cellStyle name="Neutral" xfId="40" builtinId="28" customBuiltin="1"/>
    <cellStyle name="Normal" xfId="0" builtinId="0"/>
    <cellStyle name="Normal 2" xfId="46" xr:uid="{00000000-0005-0000-0000-00002C000000}"/>
    <cellStyle name="Normal 3" xfId="48" xr:uid="{00000000-0005-0000-0000-00002D000000}"/>
    <cellStyle name="Normal 4" xfId="52" xr:uid="{94369544-209A-44D2-AF0E-A4F40FF16B57}"/>
    <cellStyle name="Normal 4 2" xfId="53" xr:uid="{62463D25-4A3E-4310-BEA9-49A1F9EB282F}"/>
    <cellStyle name="Normal 5" xfId="56" xr:uid="{03BC288A-87FC-4FE6-B731-D66A182A6423}"/>
    <cellStyle name="Normal 6" xfId="64" xr:uid="{7CF1C1A3-08E6-4D7C-BADA-8724C69C0A7C}"/>
    <cellStyle name="Normal 8" xfId="54" xr:uid="{C840CEAE-97E2-4DE1-A00C-04264D1C447C}"/>
    <cellStyle name="Note" xfId="41" builtinId="10" customBuiltin="1"/>
    <cellStyle name="Output" xfId="42" builtinId="21" customBuiltin="1"/>
    <cellStyle name="Percent" xfId="63" builtinId="5"/>
    <cellStyle name="Percent 2" xfId="62" xr:uid="{E9CCB8BE-A17F-4C7E-9D30-FAB851285B60}"/>
    <cellStyle name="Percent 3" xfId="65" xr:uid="{3E52244A-9162-40BE-804C-0C8B1ED214B5}"/>
    <cellStyle name="Sheet Title" xfId="43" xr:uid="{00000000-0005-0000-0000-000030000000}"/>
    <cellStyle name="Total" xfId="44" builtinId="25" customBuiltin="1"/>
    <cellStyle name="Warning Text" xfId="45" builtinId="11" customBuiltin="1"/>
  </cellStyles>
  <dxfs count="0"/>
  <tableStyles count="0" defaultTableStyle="TableStyleMedium9" defaultPivotStyle="PivotStyleLight16"/>
  <colors>
    <mruColors>
      <color rgb="FFCCFF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8.png"/><Relationship Id="rId18" Type="http://schemas.openxmlformats.org/officeDocument/2006/relationships/image" Target="../media/image12.svg"/><Relationship Id="rId26" Type="http://schemas.openxmlformats.org/officeDocument/2006/relationships/image" Target="../media/image18.png"/><Relationship Id="rId3" Type="http://schemas.openxmlformats.org/officeDocument/2006/relationships/image" Target="../media/image2.svg"/><Relationship Id="rId21" Type="http://schemas.openxmlformats.org/officeDocument/2006/relationships/image" Target="../media/image14.png"/><Relationship Id="rId7" Type="http://schemas.openxmlformats.org/officeDocument/2006/relationships/image" Target="../media/image4.png"/><Relationship Id="rId12" Type="http://schemas.openxmlformats.org/officeDocument/2006/relationships/hyperlink" Target="#'Variances '!A1"/><Relationship Id="rId17" Type="http://schemas.openxmlformats.org/officeDocument/2006/relationships/image" Target="../media/image11.png"/><Relationship Id="rId25" Type="http://schemas.openxmlformats.org/officeDocument/2006/relationships/hyperlink" Target="#Balances!A1"/><Relationship Id="rId2" Type="http://schemas.openxmlformats.org/officeDocument/2006/relationships/image" Target="../media/image1.png"/><Relationship Id="rId16" Type="http://schemas.openxmlformats.org/officeDocument/2006/relationships/hyperlink" Target="#Receipts!A1"/><Relationship Id="rId20" Type="http://schemas.openxmlformats.org/officeDocument/2006/relationships/hyperlink" Target="#Payments!A1"/><Relationship Id="rId29" Type="http://schemas.openxmlformats.org/officeDocument/2006/relationships/image" Target="../media/image20.png"/><Relationship Id="rId1" Type="http://schemas.openxmlformats.org/officeDocument/2006/relationships/hyperlink" Target="#'Budget Analysis'!A1"/><Relationship Id="rId6" Type="http://schemas.openxmlformats.org/officeDocument/2006/relationships/hyperlink" Target="#'Audit reconciliation'!A1"/><Relationship Id="rId11" Type="http://schemas.openxmlformats.org/officeDocument/2006/relationships/image" Target="../media/image7.svg"/><Relationship Id="rId24" Type="http://schemas.openxmlformats.org/officeDocument/2006/relationships/image" Target="../media/image17.svg"/><Relationship Id="rId5" Type="http://schemas.openxmlformats.org/officeDocument/2006/relationships/image" Target="../media/image3.png"/><Relationship Id="rId15" Type="http://schemas.openxmlformats.org/officeDocument/2006/relationships/image" Target="../media/image10.jpeg"/><Relationship Id="rId23" Type="http://schemas.openxmlformats.org/officeDocument/2006/relationships/image" Target="../media/image16.png"/><Relationship Id="rId28" Type="http://schemas.openxmlformats.org/officeDocument/2006/relationships/hyperlink" Target="#'Audit Bank rec'!A1"/><Relationship Id="rId10" Type="http://schemas.openxmlformats.org/officeDocument/2006/relationships/image" Target="../media/image6.png"/><Relationship Id="rId19" Type="http://schemas.openxmlformats.org/officeDocument/2006/relationships/image" Target="../media/image13.emf"/><Relationship Id="rId4" Type="http://schemas.openxmlformats.org/officeDocument/2006/relationships/hyperlink" Target="#'Cash flow'!A1"/><Relationship Id="rId9" Type="http://schemas.openxmlformats.org/officeDocument/2006/relationships/hyperlink" Target="#'Asset Register'!A1"/><Relationship Id="rId14" Type="http://schemas.openxmlformats.org/officeDocument/2006/relationships/image" Target="../media/image9.svg"/><Relationship Id="rId22" Type="http://schemas.openxmlformats.org/officeDocument/2006/relationships/image" Target="../media/image15.svg"/><Relationship Id="rId27" Type="http://schemas.openxmlformats.org/officeDocument/2006/relationships/image" Target="../media/image19.svg"/><Relationship Id="rId30" Type="http://schemas.openxmlformats.org/officeDocument/2006/relationships/image" Target="../media/image21.svg"/></Relationships>
</file>

<file path=xl/drawings/_rels/drawing2.xml.rels><?xml version="1.0" encoding="UTF-8" standalone="yes"?>
<Relationships xmlns="http://schemas.openxmlformats.org/package/2006/relationships"><Relationship Id="rId3" Type="http://schemas.openxmlformats.org/officeDocument/2006/relationships/image" Target="../media/image22.svg"/><Relationship Id="rId2" Type="http://schemas.openxmlformats.org/officeDocument/2006/relationships/image" Target="../media/image16.png"/><Relationship Id="rId1" Type="http://schemas.openxmlformats.org/officeDocument/2006/relationships/hyperlink" Target="#Summary!A1"/></Relationships>
</file>

<file path=xl/drawings/_rels/drawing3.xml.rels><?xml version="1.0" encoding="UTF-8" standalone="yes"?>
<Relationships xmlns="http://schemas.openxmlformats.org/package/2006/relationships"><Relationship Id="rId3" Type="http://schemas.openxmlformats.org/officeDocument/2006/relationships/image" Target="../media/image22.svg"/><Relationship Id="rId2" Type="http://schemas.openxmlformats.org/officeDocument/2006/relationships/image" Target="../media/image16.png"/><Relationship Id="rId1" Type="http://schemas.openxmlformats.org/officeDocument/2006/relationships/hyperlink" Target="#Summary!A1"/><Relationship Id="rId4" Type="http://schemas.openxmlformats.org/officeDocument/2006/relationships/image" Target="../media/image2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5.svg"/><Relationship Id="rId2" Type="http://schemas.openxmlformats.org/officeDocument/2006/relationships/image" Target="../media/image24.png"/><Relationship Id="rId1" Type="http://schemas.openxmlformats.org/officeDocument/2006/relationships/hyperlink" Target="#Summary!A1"/><Relationship Id="rId5" Type="http://schemas.openxmlformats.org/officeDocument/2006/relationships/image" Target="../media/image22.svg"/><Relationship Id="rId4" Type="http://schemas.openxmlformats.org/officeDocument/2006/relationships/image" Target="../media/image16.png"/></Relationships>
</file>

<file path=xl/drawings/_rels/drawing5.xml.rels><?xml version="1.0" encoding="UTF-8" standalone="yes"?>
<Relationships xmlns="http://schemas.openxmlformats.org/package/2006/relationships"><Relationship Id="rId3" Type="http://schemas.openxmlformats.org/officeDocument/2006/relationships/image" Target="../media/image27.svg"/><Relationship Id="rId2" Type="http://schemas.openxmlformats.org/officeDocument/2006/relationships/image" Target="../media/image26.png"/><Relationship Id="rId1" Type="http://schemas.openxmlformats.org/officeDocument/2006/relationships/hyperlink" Target="#Summary!A1"/></Relationships>
</file>

<file path=xl/drawings/_rels/drawing6.xml.rels><?xml version="1.0" encoding="UTF-8" standalone="yes"?>
<Relationships xmlns="http://schemas.openxmlformats.org/package/2006/relationships"><Relationship Id="rId3" Type="http://schemas.openxmlformats.org/officeDocument/2006/relationships/image" Target="../media/image27.svg"/><Relationship Id="rId2" Type="http://schemas.openxmlformats.org/officeDocument/2006/relationships/image" Target="../media/image26.png"/><Relationship Id="rId1" Type="http://schemas.openxmlformats.org/officeDocument/2006/relationships/hyperlink" Target="#Summary!A1"/></Relationships>
</file>

<file path=xl/drawings/_rels/drawing7.xml.rels><?xml version="1.0" encoding="UTF-8" standalone="yes"?>
<Relationships xmlns="http://schemas.openxmlformats.org/package/2006/relationships"><Relationship Id="rId3" Type="http://schemas.openxmlformats.org/officeDocument/2006/relationships/image" Target="../media/image27.svg"/><Relationship Id="rId2" Type="http://schemas.openxmlformats.org/officeDocument/2006/relationships/image" Target="../media/image26.png"/><Relationship Id="rId1" Type="http://schemas.openxmlformats.org/officeDocument/2006/relationships/hyperlink" Target="#Summary!A1"/></Relationships>
</file>

<file path=xl/drawings/_rels/drawing8.xml.rels><?xml version="1.0" encoding="UTF-8" standalone="yes"?>
<Relationships xmlns="http://schemas.openxmlformats.org/package/2006/relationships"><Relationship Id="rId3" Type="http://schemas.openxmlformats.org/officeDocument/2006/relationships/image" Target="../media/image27.svg"/><Relationship Id="rId2" Type="http://schemas.openxmlformats.org/officeDocument/2006/relationships/image" Target="../media/image26.png"/><Relationship Id="rId1" Type="http://schemas.openxmlformats.org/officeDocument/2006/relationships/hyperlink" Target="#Summary!A1"/></Relationships>
</file>

<file path=xl/drawings/drawing1.xml><?xml version="1.0" encoding="utf-8"?>
<xdr:wsDr xmlns:xdr="http://schemas.openxmlformats.org/drawingml/2006/spreadsheetDrawing" xmlns:a="http://schemas.openxmlformats.org/drawingml/2006/main">
  <xdr:twoCellAnchor editAs="oneCell">
    <xdr:from>
      <xdr:col>3</xdr:col>
      <xdr:colOff>466725</xdr:colOff>
      <xdr:row>4</xdr:row>
      <xdr:rowOff>180975</xdr:rowOff>
    </xdr:from>
    <xdr:to>
      <xdr:col>5</xdr:col>
      <xdr:colOff>83608</xdr:colOff>
      <xdr:row>8</xdr:row>
      <xdr:rowOff>26458</xdr:rowOff>
    </xdr:to>
    <xdr:pic>
      <xdr:nvPicPr>
        <xdr:cNvPr id="15" name="Graphic 14" descr="Presentation with bar chart">
          <a:hlinkClick xmlns:r="http://schemas.openxmlformats.org/officeDocument/2006/relationships" r:id="rId1"/>
          <a:extLst>
            <a:ext uri="{FF2B5EF4-FFF2-40B4-BE49-F238E27FC236}">
              <a16:creationId xmlns:a16="http://schemas.microsoft.com/office/drawing/2014/main" id="{5EF18953-805D-40C8-BD4D-F6EA99A049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95525" y="1276350"/>
          <a:ext cx="836083" cy="836083"/>
        </a:xfrm>
        <a:prstGeom prst="rect">
          <a:avLst/>
        </a:prstGeom>
      </xdr:spPr>
    </xdr:pic>
    <xdr:clientData/>
  </xdr:twoCellAnchor>
  <xdr:twoCellAnchor editAs="oneCell">
    <xdr:from>
      <xdr:col>17</xdr:col>
      <xdr:colOff>314325</xdr:colOff>
      <xdr:row>1</xdr:row>
      <xdr:rowOff>50800</xdr:rowOff>
    </xdr:from>
    <xdr:to>
      <xdr:col>17</xdr:col>
      <xdr:colOff>438150</xdr:colOff>
      <xdr:row>1</xdr:row>
      <xdr:rowOff>174625</xdr:rowOff>
    </xdr:to>
    <xdr:pic>
      <xdr:nvPicPr>
        <xdr:cNvPr id="7" name="Picture 7" descr="j0433807">
          <a:hlinkClick xmlns:r="http://schemas.openxmlformats.org/officeDocument/2006/relationships" r:id="rId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677525" y="2413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163003</xdr:colOff>
      <xdr:row>5</xdr:row>
      <xdr:rowOff>161926</xdr:rowOff>
    </xdr:from>
    <xdr:to>
      <xdr:col>12</xdr:col>
      <xdr:colOff>572577</xdr:colOff>
      <xdr:row>7</xdr:row>
      <xdr:rowOff>76200</xdr:rowOff>
    </xdr:to>
    <xdr:pic>
      <xdr:nvPicPr>
        <xdr:cNvPr id="8" name="Picture 9" descr="Register outline">
          <a:hlinkClick xmlns:r="http://schemas.openxmlformats.org/officeDocument/2006/relationships" r:id="rId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rcRect/>
        <a:stretch/>
      </xdr:blipFill>
      <xdr:spPr bwMode="auto">
        <a:xfrm>
          <a:off x="7525828" y="1504951"/>
          <a:ext cx="409574" cy="409574"/>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590550</xdr:colOff>
      <xdr:row>8</xdr:row>
      <xdr:rowOff>138916</xdr:rowOff>
    </xdr:from>
    <xdr:to>
      <xdr:col>12</xdr:col>
      <xdr:colOff>551447</xdr:colOff>
      <xdr:row>10</xdr:row>
      <xdr:rowOff>214113</xdr:rowOff>
    </xdr:to>
    <xdr:pic>
      <xdr:nvPicPr>
        <xdr:cNvPr id="9" name="Picture 10" descr="Gold bars with solid fill">
          <a:hlinkClick xmlns:r="http://schemas.openxmlformats.org/officeDocument/2006/relationships" r:id="rId9"/>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rcRect/>
        <a:stretch/>
      </xdr:blipFill>
      <xdr:spPr bwMode="auto">
        <a:xfrm>
          <a:off x="7343775" y="2224891"/>
          <a:ext cx="570497" cy="570497"/>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91027</xdr:colOff>
      <xdr:row>10</xdr:row>
      <xdr:rowOff>244405</xdr:rowOff>
    </xdr:from>
    <xdr:to>
      <xdr:col>12</xdr:col>
      <xdr:colOff>575722</xdr:colOff>
      <xdr:row>12</xdr:row>
      <xdr:rowOff>233800</xdr:rowOff>
    </xdr:to>
    <xdr:pic>
      <xdr:nvPicPr>
        <xdr:cNvPr id="10" name="Picture 11" descr="Supply And Demand with solid fill">
          <a:hlinkClick xmlns:r="http://schemas.openxmlformats.org/officeDocument/2006/relationships" r:id="rId12"/>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rcRect/>
        <a:stretch/>
      </xdr:blipFill>
      <xdr:spPr bwMode="auto">
        <a:xfrm>
          <a:off x="7453852" y="2825680"/>
          <a:ext cx="484695" cy="484695"/>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76200</xdr:colOff>
      <xdr:row>1</xdr:row>
      <xdr:rowOff>38099</xdr:rowOff>
    </xdr:from>
    <xdr:to>
      <xdr:col>11</xdr:col>
      <xdr:colOff>76200</xdr:colOff>
      <xdr:row>2</xdr:row>
      <xdr:rowOff>428624</xdr:rowOff>
    </xdr:to>
    <xdr:sp macro="" textlink="">
      <xdr:nvSpPr>
        <xdr:cNvPr id="11" name="Text Box 12">
          <a:extLst>
            <a:ext uri="{FF2B5EF4-FFF2-40B4-BE49-F238E27FC236}">
              <a16:creationId xmlns:a16="http://schemas.microsoft.com/office/drawing/2014/main" id="{00000000-0008-0000-0000-00000B000000}"/>
            </a:ext>
          </a:extLst>
        </xdr:cNvPr>
        <xdr:cNvSpPr txBox="1">
          <a:spLocks noChangeArrowheads="1"/>
        </xdr:cNvSpPr>
      </xdr:nvSpPr>
      <xdr:spPr bwMode="auto">
        <a:xfrm>
          <a:off x="1295400" y="228599"/>
          <a:ext cx="5534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lnSpc>
              <a:spcPts val="1700"/>
            </a:lnSpc>
            <a:defRPr sz="1000"/>
          </a:pPr>
          <a:r>
            <a:rPr lang="en-GB" sz="1800" b="0" i="0" u="none" strike="noStrike" baseline="0">
              <a:solidFill>
                <a:srgbClr val="000080"/>
              </a:solidFill>
              <a:latin typeface="Franklin Gothic Book"/>
            </a:rPr>
            <a:t>Nassington Parish Council </a:t>
          </a:r>
        </a:p>
        <a:p>
          <a:pPr algn="ctr" rtl="0">
            <a:lnSpc>
              <a:spcPts val="1700"/>
            </a:lnSpc>
            <a:defRPr sz="1000"/>
          </a:pPr>
          <a:r>
            <a:rPr lang="en-GB" sz="1800" b="0" i="0" u="none" strike="noStrike" baseline="0">
              <a:solidFill>
                <a:srgbClr val="000080"/>
              </a:solidFill>
              <a:latin typeface="Franklin Gothic Book"/>
            </a:rPr>
            <a:t>Accounts From 1 Apr 23 - 31 Mar 24</a:t>
          </a:r>
        </a:p>
        <a:p>
          <a:pPr algn="ctr" rtl="0">
            <a:lnSpc>
              <a:spcPts val="1200"/>
            </a:lnSpc>
            <a:defRPr sz="1000"/>
          </a:pPr>
          <a:endParaRPr lang="en-GB" sz="1200" b="0" i="0" u="none" strike="noStrike" baseline="0">
            <a:solidFill>
              <a:srgbClr val="000000"/>
            </a:solidFill>
            <a:latin typeface="Times New Roman"/>
            <a:cs typeface="Times New Roman"/>
          </a:endParaRPr>
        </a:p>
        <a:p>
          <a:pPr algn="ctr" rtl="0">
            <a:lnSpc>
              <a:spcPts val="1100"/>
            </a:lnSpc>
            <a:defRPr sz="1000"/>
          </a:pPr>
          <a:endParaRPr lang="en-GB" sz="1200" b="0" i="0" u="none" strike="noStrike" baseline="0">
            <a:solidFill>
              <a:srgbClr val="000000"/>
            </a:solidFill>
            <a:latin typeface="Times New Roman"/>
            <a:cs typeface="Times New Roman"/>
          </a:endParaRPr>
        </a:p>
      </xdr:txBody>
    </xdr:sp>
    <xdr:clientData/>
  </xdr:twoCellAnchor>
  <xdr:twoCellAnchor editAs="oneCell">
    <xdr:from>
      <xdr:col>17</xdr:col>
      <xdr:colOff>232601</xdr:colOff>
      <xdr:row>2</xdr:row>
      <xdr:rowOff>41275</xdr:rowOff>
    </xdr:from>
    <xdr:to>
      <xdr:col>17</xdr:col>
      <xdr:colOff>337497</xdr:colOff>
      <xdr:row>2</xdr:row>
      <xdr:rowOff>114301</xdr:rowOff>
    </xdr:to>
    <xdr:pic>
      <xdr:nvPicPr>
        <xdr:cNvPr id="14" name="Picture 8">
          <a:hlinkClick xmlns:r="http://schemas.openxmlformats.org/officeDocument/2006/relationships" r:id="rId6" tooltip="Click for working for audit annual statement of accounts "/>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0595801" y="422275"/>
          <a:ext cx="104896" cy="73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600075</xdr:colOff>
      <xdr:row>7</xdr:row>
      <xdr:rowOff>142875</xdr:rowOff>
    </xdr:from>
    <xdr:to>
      <xdr:col>4</xdr:col>
      <xdr:colOff>509058</xdr:colOff>
      <xdr:row>9</xdr:row>
      <xdr:rowOff>158630</xdr:rowOff>
    </xdr:to>
    <xdr:pic>
      <xdr:nvPicPr>
        <xdr:cNvPr id="16" name="Graphic 15" descr="Register">
          <a:hlinkClick xmlns:r="http://schemas.openxmlformats.org/officeDocument/2006/relationships" r:id="rId16"/>
          <a:extLst>
            <a:ext uri="{FF2B5EF4-FFF2-40B4-BE49-F238E27FC236}">
              <a16:creationId xmlns:a16="http://schemas.microsoft.com/office/drawing/2014/main" id="{BCF36F60-6E1B-4C26-A37E-7441E006C52D}"/>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428875" y="1981200"/>
          <a:ext cx="518583" cy="511055"/>
        </a:xfrm>
        <a:prstGeom prst="rect">
          <a:avLst/>
        </a:prstGeom>
      </xdr:spPr>
    </xdr:pic>
    <xdr:clientData/>
  </xdr:twoCellAnchor>
  <xdr:twoCellAnchor editAs="oneCell">
    <xdr:from>
      <xdr:col>4</xdr:col>
      <xdr:colOff>600075</xdr:colOff>
      <xdr:row>26</xdr:row>
      <xdr:rowOff>38100</xdr:rowOff>
    </xdr:from>
    <xdr:to>
      <xdr:col>6</xdr:col>
      <xdr:colOff>285750</xdr:colOff>
      <xdr:row>27</xdr:row>
      <xdr:rowOff>85725</xdr:rowOff>
    </xdr:to>
    <xdr:pic>
      <xdr:nvPicPr>
        <xdr:cNvPr id="17" name="Picture 16">
          <a:extLst>
            <a:ext uri="{FF2B5EF4-FFF2-40B4-BE49-F238E27FC236}">
              <a16:creationId xmlns:a16="http://schemas.microsoft.com/office/drawing/2014/main" id="{DA9B1A48-3FCF-4AD6-8F5E-131992869167}"/>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3038475" y="6315075"/>
          <a:ext cx="9048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552450</xdr:colOff>
      <xdr:row>9</xdr:row>
      <xdr:rowOff>114300</xdr:rowOff>
    </xdr:from>
    <xdr:to>
      <xdr:col>4</xdr:col>
      <xdr:colOff>482601</xdr:colOff>
      <xdr:row>11</xdr:row>
      <xdr:rowOff>158751</xdr:rowOff>
    </xdr:to>
    <xdr:pic>
      <xdr:nvPicPr>
        <xdr:cNvPr id="18" name="Graphic 17" descr="Shopping cart">
          <a:hlinkClick xmlns:r="http://schemas.openxmlformats.org/officeDocument/2006/relationships" r:id="rId20"/>
          <a:extLst>
            <a:ext uri="{FF2B5EF4-FFF2-40B4-BE49-F238E27FC236}">
              <a16:creationId xmlns:a16="http://schemas.microsoft.com/office/drawing/2014/main" id="{27B5EC0C-A676-4F2F-AC4C-66FC0ACF484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2381250" y="2447925"/>
          <a:ext cx="539751" cy="539751"/>
        </a:xfrm>
        <a:prstGeom prst="rect">
          <a:avLst/>
        </a:prstGeom>
      </xdr:spPr>
    </xdr:pic>
    <xdr:clientData/>
  </xdr:twoCellAnchor>
  <xdr:twoCellAnchor editAs="oneCell">
    <xdr:from>
      <xdr:col>7</xdr:col>
      <xdr:colOff>238125</xdr:colOff>
      <xdr:row>14</xdr:row>
      <xdr:rowOff>38100</xdr:rowOff>
    </xdr:from>
    <xdr:to>
      <xdr:col>8</xdr:col>
      <xdr:colOff>274108</xdr:colOff>
      <xdr:row>16</xdr:row>
      <xdr:rowOff>188383</xdr:rowOff>
    </xdr:to>
    <xdr:pic>
      <xdr:nvPicPr>
        <xdr:cNvPr id="19" name="Graphic 18" descr="House">
          <a:extLst>
            <a:ext uri="{FF2B5EF4-FFF2-40B4-BE49-F238E27FC236}">
              <a16:creationId xmlns:a16="http://schemas.microsoft.com/office/drawing/2014/main" id="{B574C8A3-A597-4E61-A120-182A70779E65}"/>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4505325" y="3857625"/>
          <a:ext cx="645583" cy="645583"/>
        </a:xfrm>
        <a:prstGeom prst="rect">
          <a:avLst/>
        </a:prstGeom>
      </xdr:spPr>
    </xdr:pic>
    <xdr:clientData/>
  </xdr:twoCellAnchor>
  <xdr:twoCellAnchor editAs="oneCell">
    <xdr:from>
      <xdr:col>4</xdr:col>
      <xdr:colOff>28575</xdr:colOff>
      <xdr:row>11</xdr:row>
      <xdr:rowOff>171450</xdr:rowOff>
    </xdr:from>
    <xdr:to>
      <xdr:col>4</xdr:col>
      <xdr:colOff>515408</xdr:colOff>
      <xdr:row>13</xdr:row>
      <xdr:rowOff>162983</xdr:rowOff>
    </xdr:to>
    <xdr:pic>
      <xdr:nvPicPr>
        <xdr:cNvPr id="20" name="Graphic 19" descr="Pound">
          <a:hlinkClick xmlns:r="http://schemas.openxmlformats.org/officeDocument/2006/relationships" r:id="rId25"/>
          <a:extLst>
            <a:ext uri="{FF2B5EF4-FFF2-40B4-BE49-F238E27FC236}">
              <a16:creationId xmlns:a16="http://schemas.microsoft.com/office/drawing/2014/main" id="{8B693A3C-FB33-4BDA-9A0A-C239D74DCE9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 uri="{96DAC541-7B7A-43D3-8B79-37D633B846F1}">
              <asvg:svgBlip xmlns:asvg="http://schemas.microsoft.com/office/drawing/2016/SVG/main" r:embed="rId27"/>
            </a:ext>
          </a:extLst>
        </a:blip>
        <a:stretch>
          <a:fillRect/>
        </a:stretch>
      </xdr:blipFill>
      <xdr:spPr>
        <a:xfrm>
          <a:off x="2466975" y="3000375"/>
          <a:ext cx="486833" cy="486833"/>
        </a:xfrm>
        <a:prstGeom prst="rect">
          <a:avLst/>
        </a:prstGeom>
      </xdr:spPr>
    </xdr:pic>
    <xdr:clientData/>
  </xdr:twoCellAnchor>
  <xdr:twoCellAnchor editAs="oneCell">
    <xdr:from>
      <xdr:col>12</xdr:col>
      <xdr:colOff>180975</xdr:colOff>
      <xdr:row>6</xdr:row>
      <xdr:rowOff>219075</xdr:rowOff>
    </xdr:from>
    <xdr:to>
      <xdr:col>12</xdr:col>
      <xdr:colOff>600075</xdr:colOff>
      <xdr:row>8</xdr:row>
      <xdr:rowOff>142875</xdr:rowOff>
    </xdr:to>
    <xdr:pic>
      <xdr:nvPicPr>
        <xdr:cNvPr id="3" name="Graphic 2" descr="Bank with solid fill">
          <a:hlinkClick xmlns:r="http://schemas.openxmlformats.org/officeDocument/2006/relationships" r:id="rId28"/>
          <a:extLst>
            <a:ext uri="{FF2B5EF4-FFF2-40B4-BE49-F238E27FC236}">
              <a16:creationId xmlns:a16="http://schemas.microsoft.com/office/drawing/2014/main" id="{D19EF8BF-41D7-4B40-AE3D-7151FCD16F57}"/>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 uri="{96DAC541-7B7A-43D3-8B79-37D633B846F1}">
              <asvg:svgBlip xmlns:asvg="http://schemas.microsoft.com/office/drawing/2016/SVG/main" r:embed="rId30"/>
            </a:ext>
          </a:extLst>
        </a:blip>
        <a:stretch>
          <a:fillRect/>
        </a:stretch>
      </xdr:blipFill>
      <xdr:spPr>
        <a:xfrm>
          <a:off x="7543800" y="1809750"/>
          <a:ext cx="419100"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89647</xdr:colOff>
      <xdr:row>1</xdr:row>
      <xdr:rowOff>103655</xdr:rowOff>
    </xdr:from>
    <xdr:to>
      <xdr:col>3</xdr:col>
      <xdr:colOff>644337</xdr:colOff>
      <xdr:row>2</xdr:row>
      <xdr:rowOff>496420</xdr:rowOff>
    </xdr:to>
    <xdr:pic>
      <xdr:nvPicPr>
        <xdr:cNvPr id="3" name="Graphic 2" descr="House">
          <a:hlinkClick xmlns:r="http://schemas.openxmlformats.org/officeDocument/2006/relationships" r:id="rId1"/>
          <a:extLst>
            <a:ext uri="{FF2B5EF4-FFF2-40B4-BE49-F238E27FC236}">
              <a16:creationId xmlns:a16="http://schemas.microsoft.com/office/drawing/2014/main" id="{68CF6508-EDC8-4996-9721-E2FA88560A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75765" y="220196"/>
          <a:ext cx="535640" cy="5272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416983</xdr:colOff>
      <xdr:row>3</xdr:row>
      <xdr:rowOff>74083</xdr:rowOff>
    </xdr:to>
    <xdr:pic>
      <xdr:nvPicPr>
        <xdr:cNvPr id="3" name="Graphic 2" descr="House">
          <a:hlinkClick xmlns:r="http://schemas.openxmlformats.org/officeDocument/2006/relationships" r:id="rId1"/>
          <a:extLst>
            <a:ext uri="{FF2B5EF4-FFF2-40B4-BE49-F238E27FC236}">
              <a16:creationId xmlns:a16="http://schemas.microsoft.com/office/drawing/2014/main" id="{6B61906B-1E7E-44FF-B438-140D41C821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0"/>
          <a:ext cx="645583" cy="645583"/>
        </a:xfrm>
        <a:prstGeom prst="rect">
          <a:avLst/>
        </a:prstGeom>
      </xdr:spPr>
    </xdr:pic>
    <xdr:clientData/>
  </xdr:twoCellAnchor>
  <xdr:twoCellAnchor editAs="oneCell">
    <xdr:from>
      <xdr:col>14</xdr:col>
      <xdr:colOff>228600</xdr:colOff>
      <xdr:row>0</xdr:row>
      <xdr:rowOff>76200</xdr:rowOff>
    </xdr:from>
    <xdr:to>
      <xdr:col>16</xdr:col>
      <xdr:colOff>499110</xdr:colOff>
      <xdr:row>3</xdr:row>
      <xdr:rowOff>3810</xdr:rowOff>
    </xdr:to>
    <xdr:pic>
      <xdr:nvPicPr>
        <xdr:cNvPr id="3073" name="Picture 1" descr="j0431495">
          <a:hlinkClick xmlns:r="http://schemas.openxmlformats.org/officeDocument/2006/relationships" r:id="rId1"/>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77525" y="76200"/>
          <a:ext cx="50482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904875</xdr:colOff>
      <xdr:row>219</xdr:row>
      <xdr:rowOff>95250</xdr:rowOff>
    </xdr:from>
    <xdr:to>
      <xdr:col>14</xdr:col>
      <xdr:colOff>1525683</xdr:colOff>
      <xdr:row>222</xdr:row>
      <xdr:rowOff>149825</xdr:rowOff>
    </xdr:to>
    <xdr:pic>
      <xdr:nvPicPr>
        <xdr:cNvPr id="4" name="Graphic 3" descr="House">
          <a:hlinkClick xmlns:r="http://schemas.openxmlformats.org/officeDocument/2006/relationships" r:id="rId1"/>
          <a:extLst>
            <a:ext uri="{FF2B5EF4-FFF2-40B4-BE49-F238E27FC236}">
              <a16:creationId xmlns:a16="http://schemas.microsoft.com/office/drawing/2014/main" id="{54D8561D-E01E-4343-9C7D-A3A35EA7C6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30050" y="10115550"/>
          <a:ext cx="620808" cy="614644"/>
        </a:xfrm>
        <a:prstGeom prst="rect">
          <a:avLst/>
        </a:prstGeom>
      </xdr:spPr>
    </xdr:pic>
    <xdr:clientData/>
  </xdr:twoCellAnchor>
  <xdr:twoCellAnchor editAs="oneCell">
    <xdr:from>
      <xdr:col>0</xdr:col>
      <xdr:colOff>1</xdr:colOff>
      <xdr:row>0</xdr:row>
      <xdr:rowOff>1</xdr:rowOff>
    </xdr:from>
    <xdr:to>
      <xdr:col>2</xdr:col>
      <xdr:colOff>230677</xdr:colOff>
      <xdr:row>1</xdr:row>
      <xdr:rowOff>377414</xdr:rowOff>
    </xdr:to>
    <xdr:pic>
      <xdr:nvPicPr>
        <xdr:cNvPr id="3" name="Graphic 2" descr="House">
          <a:hlinkClick xmlns:r="http://schemas.openxmlformats.org/officeDocument/2006/relationships" r:id="rId1"/>
          <a:extLst>
            <a:ext uri="{FF2B5EF4-FFF2-40B4-BE49-F238E27FC236}">
              <a16:creationId xmlns:a16="http://schemas.microsoft.com/office/drawing/2014/main" id="{FBF83487-F035-435C-A34E-575DDC9662B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 y="1"/>
          <a:ext cx="571500" cy="5714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567285</xdr:colOff>
      <xdr:row>3</xdr:row>
      <xdr:rowOff>41910</xdr:rowOff>
    </xdr:to>
    <xdr:pic>
      <xdr:nvPicPr>
        <xdr:cNvPr id="3" name="Graphic 2" descr="House">
          <a:hlinkClick xmlns:r="http://schemas.openxmlformats.org/officeDocument/2006/relationships" r:id="rId1"/>
          <a:extLst>
            <a:ext uri="{FF2B5EF4-FFF2-40B4-BE49-F238E27FC236}">
              <a16:creationId xmlns:a16="http://schemas.microsoft.com/office/drawing/2014/main" id="{0850A8B5-9286-4305-87A5-AB811FF981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0"/>
          <a:ext cx="567285" cy="542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361949</xdr:colOff>
      <xdr:row>4</xdr:row>
      <xdr:rowOff>47624</xdr:rowOff>
    </xdr:from>
    <xdr:to>
      <xdr:col>1</xdr:col>
      <xdr:colOff>333374</xdr:colOff>
      <xdr:row>7</xdr:row>
      <xdr:rowOff>38099</xdr:rowOff>
    </xdr:to>
    <xdr:pic>
      <xdr:nvPicPr>
        <xdr:cNvPr id="3" name="Picture 2" descr="House with solid fill">
          <a:hlinkClick xmlns:r="http://schemas.openxmlformats.org/officeDocument/2006/relationships" r:id="rId1"/>
          <a:extLst>
            <a:ext uri="{FF2B5EF4-FFF2-40B4-BE49-F238E27FC236}">
              <a16:creationId xmlns:a16="http://schemas.microsoft.com/office/drawing/2014/main" id="{7098A793-E819-4101-835B-8A7B34DA10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361949" y="619124"/>
          <a:ext cx="581025" cy="5810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581025</xdr:colOff>
      <xdr:row>4</xdr:row>
      <xdr:rowOff>76200</xdr:rowOff>
    </xdr:to>
    <xdr:pic>
      <xdr:nvPicPr>
        <xdr:cNvPr id="3" name="Picture 2" descr="House with solid fill">
          <a:hlinkClick xmlns:r="http://schemas.openxmlformats.org/officeDocument/2006/relationships" r:id="rId1"/>
          <a:extLst>
            <a:ext uri="{FF2B5EF4-FFF2-40B4-BE49-F238E27FC236}">
              <a16:creationId xmlns:a16="http://schemas.microsoft.com/office/drawing/2014/main" id="{0E006B5F-37C0-48A1-85F1-A459248738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0" y="990600"/>
          <a:ext cx="581025" cy="5810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581025</xdr:colOff>
      <xdr:row>2</xdr:row>
      <xdr:rowOff>381000</xdr:rowOff>
    </xdr:to>
    <xdr:pic>
      <xdr:nvPicPr>
        <xdr:cNvPr id="3" name="Picture 2" descr="House with solid fill">
          <a:hlinkClick xmlns:r="http://schemas.openxmlformats.org/officeDocument/2006/relationships" r:id="rId1"/>
          <a:extLst>
            <a:ext uri="{FF2B5EF4-FFF2-40B4-BE49-F238E27FC236}">
              <a16:creationId xmlns:a16="http://schemas.microsoft.com/office/drawing/2014/main" id="{C9CC4577-4887-43AE-8C90-E2683F10C3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704850" y="190500"/>
          <a:ext cx="581025" cy="581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h/Documents/Dropbox/Nassington%20PC/Accounts%20&amp;%20Audit/2015_16/15%20NPC%20Accs%202015_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h/Documents/Dropbox/Nassington%20PC/Accounts%20&amp;%20Audit/2012_13/12_Nass_Accs12_13_NPC.xl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h/Dropbox/Warmington%20PC/Accounts%20and%20Budgets/Accounts%202018-2019/18-19%20WPC%20accoun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arah/My%20Documents/Dropbox/D&amp;DT/Accounts%20&amp;%20Audit/11%20DDPC%20Accs_11_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rah/Documents/Dropbox/Warmington%20PC/Accounts%20and%20Budgets/Accounts%202016-2017/WPC%2016_17%20budget%20analysis%20and%20data%20comparis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rah/Dropbox/Nassington%20PC/Agenda%20&amp;%20Minutes/Background%20papers/21.09%20Copy%20of%20NPC%20Accounts%202021_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 budget"/>
      <sheetName val="Budget Analysis"/>
      <sheetName val="Receipts"/>
      <sheetName val="Payments"/>
      <sheetName val="Balances"/>
      <sheetName val="Audit reconciliation"/>
      <sheetName val="Asset Register"/>
      <sheetName val="Audit Bank rec"/>
      <sheetName val="Variances"/>
      <sheetName val="VAT"/>
      <sheetName val="Cash flow"/>
      <sheetName val="Budget Analysis (2)"/>
      <sheetName val="_budget"/>
      <sheetName val="Budget_Analysis"/>
      <sheetName val="Audit_reconciliation"/>
      <sheetName val="Asset_Register"/>
      <sheetName val="Audit_Bank_rec"/>
      <sheetName val="Cash_flow"/>
      <sheetName val="Budget_Analysis_(2)"/>
    </sheetNames>
    <sheetDataSet>
      <sheetData sheetId="0"/>
      <sheetData sheetId="1">
        <row r="14">
          <cell r="C14" t="str">
            <v xml:space="preserve">Salary </v>
          </cell>
        </row>
      </sheetData>
      <sheetData sheetId="2">
        <row r="16">
          <cell r="F16">
            <v>7267.84</v>
          </cell>
        </row>
      </sheetData>
      <sheetData sheetId="3">
        <row r="59">
          <cell r="K59">
            <v>0</v>
          </cell>
        </row>
      </sheetData>
      <sheetData sheetId="4">
        <row r="3">
          <cell r="R3" t="str">
            <v xml:space="preserve">Salary </v>
          </cell>
        </row>
      </sheetData>
      <sheetData sheetId="5"/>
      <sheetData sheetId="6">
        <row r="5">
          <cell r="H5">
            <v>21912</v>
          </cell>
        </row>
      </sheetData>
      <sheetData sheetId="7"/>
      <sheetData sheetId="8"/>
      <sheetData sheetId="9"/>
      <sheetData sheetId="10"/>
      <sheetData sheetId="11"/>
      <sheetData sheetId="12"/>
      <sheetData sheetId="13">
        <row r="14">
          <cell r="C14" t="str">
            <v xml:space="preserve">Salary </v>
          </cell>
        </row>
      </sheetData>
      <sheetData sheetId="14">
        <row r="16">
          <cell r="F16">
            <v>7267.84</v>
          </cell>
        </row>
      </sheetData>
      <sheetData sheetId="15">
        <row r="5">
          <cell r="H5">
            <v>21912</v>
          </cell>
        </row>
      </sheetData>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 budget"/>
      <sheetName val="Budget Analysis"/>
      <sheetName val="Receipts"/>
      <sheetName val="Payments"/>
      <sheetName val="Balances"/>
      <sheetName val="Cash flow"/>
      <sheetName val="Audit reconciliation"/>
      <sheetName val="Asset Register"/>
      <sheetName val="Audit Bank rec"/>
      <sheetName val="Variances"/>
      <sheetName val="VAT"/>
    </sheetNames>
    <sheetDataSet>
      <sheetData sheetId="0"/>
      <sheetData sheetId="1">
        <row r="13">
          <cell r="C13" t="str">
            <v xml:space="preserve">Salary </v>
          </cell>
        </row>
        <row r="14">
          <cell r="C14" t="str">
            <v>Clerks expenses</v>
          </cell>
        </row>
        <row r="15">
          <cell r="C15" t="str">
            <v>Office expenses</v>
          </cell>
        </row>
        <row r="16">
          <cell r="C16" t="str">
            <v>Chair's allowance</v>
          </cell>
        </row>
        <row r="17">
          <cell r="C17" t="str">
            <v>Training budget</v>
          </cell>
        </row>
        <row r="18">
          <cell r="C18" t="str">
            <v xml:space="preserve">Twinning. newsletter. </v>
          </cell>
        </row>
        <row r="19">
          <cell r="C19" t="str">
            <v>Street Lighting</v>
          </cell>
        </row>
        <row r="20">
          <cell r="C20" t="str">
            <v>Playing Field / Sports Ass  Footpaths / Environment</v>
          </cell>
        </row>
        <row r="22">
          <cell r="C22" t="str">
            <v>Burial Board</v>
          </cell>
        </row>
        <row r="23">
          <cell r="C23" t="str">
            <v>Insurance</v>
          </cell>
        </row>
        <row r="24">
          <cell r="C24" t="str">
            <v>NALC. Acre,Competitions</v>
          </cell>
        </row>
        <row r="25">
          <cell r="C25" t="str">
            <v>Village Hall Hire</v>
          </cell>
        </row>
        <row r="26">
          <cell r="C26" t="str">
            <v>Audit</v>
          </cell>
        </row>
        <row r="27">
          <cell r="C27" t="str">
            <v>Allotment Expenditure</v>
          </cell>
        </row>
        <row r="28">
          <cell r="C28" t="str">
            <v>Election Expenses</v>
          </cell>
        </row>
        <row r="29">
          <cell r="C29" t="str">
            <v>churchyard</v>
          </cell>
        </row>
        <row r="30">
          <cell r="C30" t="str">
            <v>Contingency</v>
          </cell>
        </row>
        <row r="31">
          <cell r="C31" t="str">
            <v>Jubilee</v>
          </cell>
        </row>
        <row r="32">
          <cell r="C32" t="str">
            <v>Contingency (building reserves)</v>
          </cell>
        </row>
        <row r="34">
          <cell r="C34" t="str">
            <v>Community complex</v>
          </cell>
        </row>
        <row r="35">
          <cell r="C35" t="str">
            <v>Youth project</v>
          </cell>
        </row>
        <row r="36">
          <cell r="C36" t="str">
            <v>Churchyard Wall</v>
          </cell>
        </row>
        <row r="37">
          <cell r="C37" t="str">
            <v>Jubilee</v>
          </cell>
        </row>
        <row r="38">
          <cell r="C38" t="str">
            <v>Misc  / grants</v>
          </cell>
        </row>
      </sheetData>
      <sheetData sheetId="2">
        <row r="7">
          <cell r="D7">
            <v>375</v>
          </cell>
        </row>
      </sheetData>
      <sheetData sheetId="3"/>
      <sheetData sheetId="4">
        <row r="3">
          <cell r="R3" t="str">
            <v xml:space="preserve">Salary </v>
          </cell>
        </row>
        <row r="4">
          <cell r="R4" t="str">
            <v>Clerks expenses</v>
          </cell>
        </row>
        <row r="5">
          <cell r="R5" t="str">
            <v>Office expenses</v>
          </cell>
        </row>
        <row r="6">
          <cell r="R6" t="str">
            <v>Chair's allowance</v>
          </cell>
        </row>
        <row r="7">
          <cell r="R7" t="str">
            <v>Chair's allowance</v>
          </cell>
        </row>
        <row r="8">
          <cell r="R8" t="str">
            <v>Training budget</v>
          </cell>
        </row>
        <row r="9">
          <cell r="R9" t="str">
            <v xml:space="preserve">Twinning. newsletter. </v>
          </cell>
        </row>
        <row r="10">
          <cell r="R10" t="str">
            <v>Street Lighting</v>
          </cell>
        </row>
        <row r="11">
          <cell r="R11" t="str">
            <v>Playing Field / Sports Ass  Footpaths / Environment</v>
          </cell>
        </row>
        <row r="12">
          <cell r="R12" t="str">
            <v>Burial Board</v>
          </cell>
        </row>
        <row r="13">
          <cell r="R13" t="str">
            <v>Insurance</v>
          </cell>
        </row>
        <row r="14">
          <cell r="R14" t="str">
            <v>NALC. Acre,Competitions</v>
          </cell>
        </row>
        <row r="15">
          <cell r="R15" t="str">
            <v>Village Hall Hire</v>
          </cell>
        </row>
        <row r="16">
          <cell r="R16" t="str">
            <v>Audit</v>
          </cell>
        </row>
        <row r="17">
          <cell r="R17" t="str">
            <v>Allotment Expenditure</v>
          </cell>
        </row>
        <row r="18">
          <cell r="R18" t="str">
            <v>Election Expenses</v>
          </cell>
        </row>
        <row r="19">
          <cell r="R19" t="str">
            <v>churchyard</v>
          </cell>
        </row>
        <row r="20">
          <cell r="R20" t="str">
            <v>Contingency</v>
          </cell>
        </row>
        <row r="21">
          <cell r="R21" t="str">
            <v>Jubilee</v>
          </cell>
        </row>
        <row r="22">
          <cell r="R22" t="str">
            <v>Contingency (building reserves)</v>
          </cell>
        </row>
        <row r="23">
          <cell r="R23" t="str">
            <v>Community complex</v>
          </cell>
        </row>
        <row r="24">
          <cell r="R24" t="str">
            <v>Youth project</v>
          </cell>
        </row>
        <row r="25">
          <cell r="R25" t="str">
            <v>Churchyard Wall</v>
          </cell>
        </row>
        <row r="26">
          <cell r="R26" t="str">
            <v>Jubilee res</v>
          </cell>
        </row>
        <row r="27">
          <cell r="R27" t="str">
            <v>Misc  / grants</v>
          </cell>
        </row>
      </sheetData>
      <sheetData sheetId="5">
        <row r="19">
          <cell r="C19">
            <v>31575.66</v>
          </cell>
        </row>
      </sheetData>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 Budget analysis 2018_19"/>
      <sheetName val="Receipts"/>
      <sheetName val="Payments"/>
      <sheetName val="Balances"/>
      <sheetName val="Audit Bank rec"/>
      <sheetName val="Audit reconciliation"/>
      <sheetName val="Variances"/>
      <sheetName val="Asset Reg"/>
      <sheetName val="Re'c"/>
      <sheetName val="AWA_Grants"/>
      <sheetName val="Sheet2"/>
      <sheetName val="Payt"/>
      <sheetName val="Payt anal"/>
      <sheetName val="PaytAnalysis"/>
      <sheetName val="Receipt"/>
      <sheetName val="Sheet3"/>
      <sheetName val="Payments (2)"/>
      <sheetName val="Sheet4"/>
      <sheetName val="Sheet5"/>
      <sheetName val=" Budget analysis 2018_19 (3)"/>
      <sheetName val=" Budget analysis 2018_19 (2)"/>
      <sheetName val="Assets"/>
      <sheetName val="VAT"/>
      <sheetName val="VAT (2)"/>
      <sheetName val="Sheet1"/>
      <sheetName val="PockIt-Petty Cash "/>
      <sheetName val="Fixed Asset Register"/>
    </sheetNames>
    <sheetDataSet>
      <sheetData sheetId="0" refreshError="1"/>
      <sheetData sheetId="1" refreshError="1"/>
      <sheetData sheetId="2" refreshError="1"/>
      <sheetData sheetId="3">
        <row r="208">
          <cell r="L208">
            <v>628.20000000000005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udget "/>
      <sheetName val="Budget control"/>
      <sheetName val="Receipts &amp; Payments"/>
      <sheetName val="Balances"/>
      <sheetName val="Audit summary"/>
      <sheetName val="Audit Bank rec"/>
      <sheetName val="Expense Statement"/>
      <sheetName val="Mileage Log"/>
      <sheetName val="hours"/>
      <sheetName val="Postage"/>
      <sheetName val="Asset Register"/>
      <sheetName val="Variances"/>
      <sheetName val="Budget"/>
      <sheetName val="Budget proposal"/>
      <sheetName val="Cash flow"/>
      <sheetName val="Audit reconciliation"/>
      <sheetName val="Bank rec."/>
      <sheetName val="Budget_"/>
      <sheetName val="Budget_control"/>
      <sheetName val="Receipts_&amp;_Payments"/>
      <sheetName val="Audit_summary"/>
      <sheetName val="Audit_Bank_rec"/>
      <sheetName val="Expense_Statement"/>
      <sheetName val="Mileage_Log"/>
      <sheetName val="Asset_Register"/>
      <sheetName val="Budget_proposal"/>
      <sheetName val="Cash_flow"/>
      <sheetName val="Audit_reconciliation"/>
      <sheetName val="Bank_rec_"/>
    </sheetNames>
    <sheetDataSet>
      <sheetData sheetId="0"/>
      <sheetData sheetId="1"/>
      <sheetData sheetId="2">
        <row r="4">
          <cell r="B4" t="str">
            <v>Salary</v>
          </cell>
        </row>
        <row r="5">
          <cell r="B5" t="str">
            <v>Village hall hire</v>
          </cell>
        </row>
        <row r="6">
          <cell r="B6" t="str">
            <v>Charitable donations / Contingency</v>
          </cell>
        </row>
        <row r="7">
          <cell r="B7" t="str">
            <v>NALC / Subscriptions / Misc stationery / exps</v>
          </cell>
        </row>
        <row r="8">
          <cell r="B8" t="str">
            <v>Landscaping</v>
          </cell>
        </row>
        <row r="9">
          <cell r="B9" t="str">
            <v>Audit</v>
          </cell>
        </row>
        <row r="10">
          <cell r="B10" t="str">
            <v>Insurance</v>
          </cell>
        </row>
        <row r="11">
          <cell r="B11" t="str">
            <v>election</v>
          </cell>
        </row>
        <row r="12">
          <cell r="B12" t="str">
            <v>Jubilee</v>
          </cell>
        </row>
        <row r="13">
          <cell r="B13" t="str">
            <v>Grass cutting</v>
          </cell>
        </row>
      </sheetData>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sheetData sheetId="19">
        <row r="4">
          <cell r="B4" t="str">
            <v>Salary</v>
          </cell>
        </row>
      </sheetData>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Budget analysis 2015_16"/>
      <sheetName val="VARIATIONS"/>
      <sheetName val="PAST YEARS"/>
      <sheetName val="INCREASE TABLE"/>
      <sheetName val="_Budget_analysis_2015_16"/>
      <sheetName val="PAST_YEARS"/>
      <sheetName val="INCREASE_TABLE"/>
    </sheetNames>
    <sheetDataSet>
      <sheetData sheetId="0"/>
      <sheetData sheetId="1">
        <row r="17">
          <cell r="C17">
            <v>2.9958650000000491</v>
          </cell>
        </row>
      </sheetData>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udget Analysis"/>
      <sheetName val="Sheet3"/>
      <sheetName val="Receipts"/>
      <sheetName val="Payments"/>
      <sheetName val="Balances"/>
      <sheetName val="Audit Bank rec"/>
      <sheetName val="PockIt-Petty Cash "/>
      <sheetName val="Audit reconciliation"/>
      <sheetName val="Budget Analysis (2)"/>
      <sheetName val="Variances "/>
      <sheetName val="Asset Register"/>
      <sheetName val="Payments (2)"/>
      <sheetName val="Grant"/>
      <sheetName val="LGSS Invoices"/>
      <sheetName val="Payt Meths"/>
      <sheetName val="Payments (3)"/>
      <sheetName val="PiTP"/>
      <sheetName val="CollectionDonation"/>
      <sheetName val="Sheet2"/>
      <sheetName val="VAT"/>
      <sheetName val="Cash flow"/>
    </sheetNames>
    <sheetDataSet>
      <sheetData sheetId="0"/>
      <sheetData sheetId="1"/>
      <sheetData sheetId="2"/>
      <sheetData sheetId="3"/>
      <sheetData sheetId="4"/>
      <sheetData sheetId="5">
        <row r="6">
          <cell r="F6">
            <v>2280.29</v>
          </cell>
        </row>
        <row r="8">
          <cell r="F8">
            <v>177.14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persons/person.xml><?xml version="1.0" encoding="utf-8"?>
<personList xmlns="http://schemas.microsoft.com/office/spreadsheetml/2018/threadedcomments" xmlns:x="http://schemas.openxmlformats.org/spreadsheetml/2006/main">
  <person displayName="Sarah Rodger" id="{79FAF366-FFB0-419A-9E78-360F67903080}" userId="Sarah Rodger" providerId="None"/>
  <person displayName="Sarah Rodger Parish Council Clerk" id="{34BEFFFC-B867-4193-8C7A-BEEFDBAE4FB5}" userId="19ddbf1ac95787c2"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dT="2023-11-05T17:39:54.67" personId="{34BEFFFC-B867-4193-8C7A-BEEFDBAE4FB5}" id="{546BFA84-015C-46FE-A69C-C89D35321C0C}">
    <text>=YTDrounded plus 5x£280 +£440x2</text>
  </threadedComment>
  <threadedComment ref="N21" dT="2022-12-28T14:26:12.73" personId="{79FAF366-FFB0-419A-9E78-360F67903080}" id="{679C7C3E-9895-48FD-8764-9DDE4399C1FF}">
    <text>Sal * 6%</text>
  </threadedComment>
  <threadedComment ref="N31" dT="2022-12-28T14:20:13.67" personId="{79FAF366-FFB0-419A-9E78-360F67903080}" id="{2C074106-899A-4665-956A-C832141F9431}">
    <text>SLCC177+Ncalc(680*0.2723)+181.43+NALC(680*0.0771)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s://www.dropbox.com/s/weea5f0vqyaw9dr/23.06%20SSE%20May%20lighting%20electricity%20consumption.pdf?dl=0" TargetMode="External"/><Relationship Id="rId21" Type="http://schemas.openxmlformats.org/officeDocument/2006/relationships/hyperlink" Target="https://www.dropbox.com/s/z0kta8r6eiiaka4/23.05%20Walnut%20farm.pdf?dl=0" TargetMode="External"/><Relationship Id="rId42" Type="http://schemas.openxmlformats.org/officeDocument/2006/relationships/hyperlink" Target="https://www.dropbox.com/scl/fi/47a5avmpvv7dw9s60nrfy/23.09-PAID-INV-1983-RED-Nassington-Allotments.pdf?rlkey=ezbpoilwnkyjsf0ekch9gm47q&amp;dl=0" TargetMode="External"/><Relationship Id="rId47" Type="http://schemas.openxmlformats.org/officeDocument/2006/relationships/hyperlink" Target="https://www.dropbox.com/scl/fi/898avdg8y3kk0xv42scci/23.09-AED-phonebox.pdf?rlkey=w092tjdgwlt7z58hkia4lvog2&amp;dl=0" TargetMode="External"/><Relationship Id="rId63" Type="http://schemas.openxmlformats.org/officeDocument/2006/relationships/hyperlink" Target="https://www.dropbox.com/scl/fi/n9yrldowz8jtzsx011pt0/23.12-Mick-George-Skip-Hire-order-166406-confirmation-and-delivery-details.pdf?rlkey=usd0kowq4v26qmnl9imp2pgak&amp;dl=0" TargetMode="External"/><Relationship Id="rId68" Type="http://schemas.openxmlformats.org/officeDocument/2006/relationships/hyperlink" Target="https://www.dropbox.com/scl/fi/k9dtbakjbih30fv8r80y8/23.12-Microsoft-subscription.pdf?rlkey=70nov89l84o1welr85qhqwaqb&amp;dl=0" TargetMode="External"/><Relationship Id="rId84" Type="http://schemas.openxmlformats.org/officeDocument/2006/relationships/hyperlink" Target="https://www.dropbox.com/scl/fi/mcs2xonbwuyccu1nky0so/24.01-grit-saltInvoice-INV-3094.pdf?rlkey=dxrhxry4gogt5h1e8rvopx0pb&amp;dl=0" TargetMode="External"/><Relationship Id="rId89" Type="http://schemas.openxmlformats.org/officeDocument/2006/relationships/hyperlink" Target="https://www.dropbox.com/scl/fi/k30lpsnp3h4ua8kuuxgp5/23.03-690-Inv-to-NPC-from-village-hall.pdf?rlkey=zfajotjl7mtgstv5by58h5k1z&amp;dl=0" TargetMode="External"/><Relationship Id="rId16" Type="http://schemas.openxmlformats.org/officeDocument/2006/relationships/hyperlink" Target="https://www.dropbox.com/s/oul6uyhhzsbq55z/23.05%20Dell%20laptop%201404163229.PDF?dl=0" TargetMode="External"/><Relationship Id="rId11" Type="http://schemas.openxmlformats.org/officeDocument/2006/relationships/hyperlink" Target="https://www.dropbox.com/s/44rhqvda3urd6u5/23.05%20Xldisplays%20193364.pdf?dl=0" TargetMode="External"/><Relationship Id="rId32" Type="http://schemas.openxmlformats.org/officeDocument/2006/relationships/hyperlink" Target="https://www.dropbox.com/s/iwzvpwdusc3i6wb/23.07%20TsoHost%20webhosting%20Inv%207577154%20pd%20by%20paypal%20%28cc%29.pdf?dl=0" TargetMode="External"/><Relationship Id="rId37" Type="http://schemas.openxmlformats.org/officeDocument/2006/relationships/hyperlink" Target="https://www.dropbox.com/scl/fi/xoyzc14p8d98x5147q9sm/23.07-PAID-RoSPA-Inv-72873.pdf?rlkey=im73d2q5xgnb6z94aothwik2s&amp;dl=0" TargetMode="External"/><Relationship Id="rId53" Type="http://schemas.openxmlformats.org/officeDocument/2006/relationships/hyperlink" Target="https://www.dropbox.com/scl/fi/vea40gfvjccngo91gutuf/23.09-AmazonBusinessInvoice-1DGF-3ML1-YF1L-2.pdf?rlkey=deyd49j3pyi61nhcvsrr1byj6&amp;dl=0" TargetMode="External"/><Relationship Id="rId58" Type="http://schemas.openxmlformats.org/officeDocument/2006/relationships/hyperlink" Target="https://www.dropbox.com/s/tv91792655617a2/23.05%20Plough%20April%2023%20Invoice%202840.pdf?dl=0" TargetMode="External"/><Relationship Id="rId74" Type="http://schemas.openxmlformats.org/officeDocument/2006/relationships/hyperlink" Target="https://www.dropbox.com/scl/fi/xh485ddupczuhuv6ezy3y/23.12-Invoice-INV-0418-groundwork-James-Boughton.pdf?rlkey=ly28mppxf5637yuh93j1y1isb&amp;dl=0" TargetMode="External"/><Relationship Id="rId79" Type="http://schemas.openxmlformats.org/officeDocument/2006/relationships/hyperlink" Target="https://www.dropbox.com/scl/fi/ke4x0voy1j8vj8767t4kk/24.01-Broughton-works-balance-INV-0421.pdf?rlkey=l05l104hevc4yukjmwpqkrmbt&amp;dl=0" TargetMode="External"/><Relationship Id="rId5" Type="http://schemas.openxmlformats.org/officeDocument/2006/relationships/hyperlink" Target="https://www.dropbox.com/s/76rfbtc68p3pemz/23.04%20S%20Rodger%20jubilee%20expense.pdf?dl=0" TargetMode="External"/><Relationship Id="rId90" Type="http://schemas.openxmlformats.org/officeDocument/2006/relationships/hyperlink" Target="https://www.dropbox.com/scl/fi/sg2j0i679sut75fydulkc/23.03-YourLocale-Nassington-invoice-9-1.pdf?rlkey=3kf31ts6ucnsi6e56soqiqocj&amp;dl=0" TargetMode="External"/><Relationship Id="rId95" Type="http://schemas.openxmlformats.org/officeDocument/2006/relationships/hyperlink" Target="https://www.dropbox.com/scl/fi/r746hgx4p4mgln42esi3c/Jan-streetlighting-Mar-payt.pdf?rlkey=uyqhpahmlhg2lgb0pp7l8q4gr&amp;dl=0" TargetMode="External"/><Relationship Id="rId22" Type="http://schemas.openxmlformats.org/officeDocument/2006/relationships/hyperlink" Target="https://www.dropbox.com/s/6x6aspzmdgvbvnp/23.05%20SSE%20AED%20Apr%20cons%20May%20payt.pdf?dl=0" TargetMode="External"/><Relationship Id="rId27" Type="http://schemas.openxmlformats.org/officeDocument/2006/relationships/hyperlink" Target="https://www.dropbox.com/s/o6alinfe5ul3iar/23.06%20SSE%20May%20AED%20electricity%20consumption.pdf?dl=0" TargetMode="External"/><Relationship Id="rId43" Type="http://schemas.openxmlformats.org/officeDocument/2006/relationships/hyperlink" Target="https://www.dropbox.com/scl/fi/fyjkjbvy6l68niz2fcyd8/23.09-Hardcore-RED-IMG_3107.jpg?rlkey=31a01tbiqw36hd8h8j85mxdad&amp;dl=0" TargetMode="External"/><Relationship Id="rId48" Type="http://schemas.openxmlformats.org/officeDocument/2006/relationships/hyperlink" Target="https://www.dropbox.com/scl/fi/kgzrjazm8rva6lwdqlhkx/23.09-PKF-Audit-invoice-RED-NH0164.pdf?rlkey=jm7vrt9r6idp2kycilgb40pgv&amp;dl=0" TargetMode="External"/><Relationship Id="rId64" Type="http://schemas.openxmlformats.org/officeDocument/2006/relationships/hyperlink" Target="https://www.dropbox.com/scl/fi/az2hamt2zh9af7s0f0jah/23.11-PAID-Peterborough-print-history-leaflets.pdf?rlkey=lde4wnc5saup5s5p0ss0zdhbu&amp;dl=0" TargetMode="External"/><Relationship Id="rId69" Type="http://schemas.openxmlformats.org/officeDocument/2006/relationships/hyperlink" Target="https://www.dropbox.com/scl/fi/az2hamt2zh9af7s0f0jah/23.11-PAID-Peterborough-print-history-leaflets.pdf?rlkey=lde4wnc5saup5s5p0ss0zdhbu&amp;dl=0" TargetMode="External"/><Relationship Id="rId80" Type="http://schemas.openxmlformats.org/officeDocument/2006/relationships/hyperlink" Target="https://www.dropbox.com/scl/fi/xbil31xpge04bd8km0xfw/24.01-SSE-Jan-inv-for-Dec-streetlighting.pdf?rlkey=epo1hh31psrc4765ecsrrxgg7&amp;dl=0" TargetMode="External"/><Relationship Id="rId85" Type="http://schemas.openxmlformats.org/officeDocument/2006/relationships/hyperlink" Target="https://www.dropbox.com/scl/fi/2djn7laveftpq4oupesad/Dec-streetlighting-Feb-payt.pdf?rlkey=dil34foxza9hp4e2ko231gvba&amp;dl=0" TargetMode="External"/><Relationship Id="rId3" Type="http://schemas.openxmlformats.org/officeDocument/2006/relationships/hyperlink" Target="https://www.dropbox.com/s/zmt40t0j731vmtw/23.04%20SSE%20streetlighting.pdf?dl=0" TargetMode="External"/><Relationship Id="rId12" Type="http://schemas.openxmlformats.org/officeDocument/2006/relationships/hyperlink" Target="https://www.dropbox.com/s/hajk7uoxpvwvmsd/23.05%20SLCC%20Membership%20Invoice.pdf?dl=0" TargetMode="External"/><Relationship Id="rId17" Type="http://schemas.openxmlformats.org/officeDocument/2006/relationships/hyperlink" Target="https://www.dropbox.com/s/1upwzutcvcbcxzm/23.05%20Amazon%20biscuit%20tin%20skittles.pdf?dl=0" TargetMode="External"/><Relationship Id="rId25" Type="http://schemas.openxmlformats.org/officeDocument/2006/relationships/hyperlink" Target="https://www.dropbox.com/s/t3oo780az3ft6vt/23.06%20June%20approval%20of%20May%20invoice%20Titan%20email%20storage%20space.pdf?dl=0" TargetMode="External"/><Relationship Id="rId33" Type="http://schemas.openxmlformats.org/officeDocument/2006/relationships/hyperlink" Target="https://www.dropbox.com/scl/fi/j53kwphqs8t9pq01tw7hj/23.07-SSE-streetlighting.pdf?rlkey=kcfaq6sf2pc8ivaqzi8zizzrw&amp;dl=0" TargetMode="External"/><Relationship Id="rId38" Type="http://schemas.openxmlformats.org/officeDocument/2006/relationships/hyperlink" Target="https://www.dropbox.com/s/hv0bfhiksxqtk45/23.07%20Plough%20enviro%20June%2023%20Inv%202861.pdf?dl=0" TargetMode="External"/><Relationship Id="rId46" Type="http://schemas.openxmlformats.org/officeDocument/2006/relationships/hyperlink" Target="https://www.dropbox.com/scl/fi/lg103clp38vfpao4vjnqd/23.09-SSE-streetlighting.pdf?rlkey=cfxy1tk1gh3jpq66ii75lra1o&amp;dl=0" TargetMode="External"/><Relationship Id="rId59" Type="http://schemas.openxmlformats.org/officeDocument/2006/relationships/hyperlink" Target="https://www.dropbox.com/scl/fi/j5lfrbqrest0si04bomb5/23.10-Plough-Sept-23-Invoice-2895.pdf?rlkey=innvkpwtm2vwlzbkhuyrgcy5t&amp;dl=0" TargetMode="External"/><Relationship Id="rId67" Type="http://schemas.openxmlformats.org/officeDocument/2006/relationships/hyperlink" Target="https://www.dropbox.com/scl/fi/m1ydl6545b1askx6bor8w/23.12-Iris-payroll-software-Transaction-details-PayPal.pdf?rlkey=543799odtz6q044952g6ctro9&amp;dl=0" TargetMode="External"/><Relationship Id="rId20" Type="http://schemas.openxmlformats.org/officeDocument/2006/relationships/hyperlink" Target="https://www.dropbox.com/s/mbr7emdlt1jpyzi/23.05%20Amazon%20correx%20board.pdf?dl=0" TargetMode="External"/><Relationship Id="rId41" Type="http://schemas.openxmlformats.org/officeDocument/2006/relationships/hyperlink" Target="https://www.dropbox.com/scl/fi/3ij3ncztqpsmh5j0m0e7t/23.09-AmazonBusinessCreditNote-177Y-QTJL-J4CF-1.pdf?rlkey=grkhpb2cmqnenvgiwtbczih7l&amp;dl=0" TargetMode="External"/><Relationship Id="rId54" Type="http://schemas.openxmlformats.org/officeDocument/2006/relationships/hyperlink" Target="https://www.dropbox.com/s/tv91792655617a2/23.05%20Plough%20April%2023%20Invoice%202840.pdf?dl=0" TargetMode="External"/><Relationship Id="rId62" Type="http://schemas.openxmlformats.org/officeDocument/2006/relationships/hyperlink" Target="https://www.dropbox.com/scl/fi/21jun6znvvpl91614w4rg/23.11-Amazon-fly-tipping-invoice.pdf?rlkey=raa3solc651uukckr2b5ijs8c&amp;dl=0" TargetMode="External"/><Relationship Id="rId70" Type="http://schemas.openxmlformats.org/officeDocument/2006/relationships/hyperlink" Target="https://www.dropbox.com/scl/fi/qwqrw4jp0mydy9huvh56e/23.12-Wave-water-at-allotments.pdf?rlkey=8c15ssdtqmuunvs83trct60la&amp;dl=0" TargetMode="External"/><Relationship Id="rId75" Type="http://schemas.openxmlformats.org/officeDocument/2006/relationships/hyperlink" Target="https://www.dropbox.com/scl/fi/tngvscc95hfwul4r276dg/23.12-PDF-software.pdf?rlkey=kww75adm4053xiynzq0uyx3fy&amp;dl=0" TargetMode="External"/><Relationship Id="rId83" Type="http://schemas.openxmlformats.org/officeDocument/2006/relationships/hyperlink" Target="https://www.dropbox.com/scl/fi/jxum5l9rn6qz8kgmoy3y1/23.09-Paid-AUG-AmazonBusinessInvoice-13PM-Y4TC-71WY-3.pdf?rlkey=0zk8gfr453or9oribioyacidu&amp;dl=0" TargetMode="External"/><Relationship Id="rId88" Type="http://schemas.openxmlformats.org/officeDocument/2006/relationships/hyperlink" Target="https://www.dropbox.com/scl/fi/gtv5th7u4yzn8gto0gncu/23.03-Wix-website-1102912647.pdf?rlkey=cqalpchj5db1luks8etwvvhi0&amp;dl=0" TargetMode="External"/><Relationship Id="rId91" Type="http://schemas.openxmlformats.org/officeDocument/2006/relationships/hyperlink" Target="https://www.dropbox.com/scl/fi/pbq4btw3iblpowlcsbhsr/23.03-Water-bill-13169117.pdf?rlkey=hda14fmhl3fn8gtpaihf5t6gl&amp;dl=0" TargetMode="External"/><Relationship Id="rId96" Type="http://schemas.openxmlformats.org/officeDocument/2006/relationships/hyperlink" Target="https://www.dropbox.com/scl/fi/v1hidmcy2t1uo5xq2buap/24.03-AEDS-Jan-chg-due-in-March.pdf?rlkey=4wtnixjhpcziwz2gr7wvbm9cg&amp;dl=0" TargetMode="External"/><Relationship Id="rId1" Type="http://schemas.openxmlformats.org/officeDocument/2006/relationships/hyperlink" Target="https://www.dropbox.com/s/p566yrwgr95l8o6/23.02.pdf?dl=0" TargetMode="External"/><Relationship Id="rId6" Type="http://schemas.openxmlformats.org/officeDocument/2006/relationships/hyperlink" Target="https://www.dropbox.com/s/vprlftxxf5nxky6/23.04%20history%20group%20receipts1.jpg?dl=0" TargetMode="External"/><Relationship Id="rId15" Type="http://schemas.openxmlformats.org/officeDocument/2006/relationships/hyperlink" Target="https://www.dropbox.com/s/vwakfk7q73hzg54/23.05%20CHT%20Paediatric%20pads.pdf?dl=0" TargetMode="External"/><Relationship Id="rId23" Type="http://schemas.openxmlformats.org/officeDocument/2006/relationships/hyperlink" Target="https://www.dropbox.com/s/6x6aspzmdgvbvnp/23.05%20SSE%20AED%20Apr%20cons%20May%20payt.pdf?dl=0" TargetMode="External"/><Relationship Id="rId28" Type="http://schemas.openxmlformats.org/officeDocument/2006/relationships/hyperlink" Target="https://www.dropbox.com/s/0aovq0v5z4mcs6y/23.06%20Wave%20water%20bill.pdf?dl=0" TargetMode="External"/><Relationship Id="rId36" Type="http://schemas.openxmlformats.org/officeDocument/2006/relationships/hyperlink" Target="https://www.dropbox.com/scl/fi/9s5ez7y9b3gf9xcizthe5/23.07-NNC-dogbin-emptying.pdf?rlkey=20z3ojtxk7gdm02ewyx1o91ab&amp;dl=0" TargetMode="External"/><Relationship Id="rId49" Type="http://schemas.openxmlformats.org/officeDocument/2006/relationships/hyperlink" Target="https://www.dropbox.com/scl/fi/zv90e9kxbi0izsg1fml5r/23.09-NDP-RED-YourLocale-Nassington-invoice-8.pdf?rlkey=gnuda5dojkvmirag002g438hy&amp;dl=0" TargetMode="External"/><Relationship Id="rId57" Type="http://schemas.openxmlformats.org/officeDocument/2006/relationships/hyperlink" Target="https://www.dropbox.com/scl/fi/zkterp9qpib7artbvj94v/23.10-Sept-AED-phone-box.pdf?rlkey=rmqtrhtxtmiw4v1uleqgeze8i&amp;dl=0" TargetMode="External"/><Relationship Id="rId10" Type="http://schemas.openxmlformats.org/officeDocument/2006/relationships/hyperlink" Target="https://www.dropbox.com/s/2eewf5hpovnndbr/23.04%20Data%20Protection%20fee%20-%20Reminder%20to%20renew%20ICO_00012930865.pdf?dl=0" TargetMode="External"/><Relationship Id="rId31" Type="http://schemas.openxmlformats.org/officeDocument/2006/relationships/hyperlink" Target="https://www.dropbox.com/scl/fi/hrdvy7hbxmylzdqzd4f4q/23.07-TsohostInvoice-domain-name-inv-7598042.pdf?rlkey=3pitwcmmxf6vxzc82n4usrj0h&amp;dl=0" TargetMode="External"/><Relationship Id="rId44" Type="http://schemas.openxmlformats.org/officeDocument/2006/relationships/hyperlink" Target="https://www.dropbox.com/scl/fi/hmv444k1ulynf93sazxir/23.08-Aug-inv-SSE-streetlighting.pdf?rlkey=mh9fhrkzwbj7iluozzlirhrov&amp;dl=0" TargetMode="External"/><Relationship Id="rId52" Type="http://schemas.openxmlformats.org/officeDocument/2006/relationships/hyperlink" Target="https://www.dropbox.com/scl/fi/n6zk8qz1sej9pn0fpz82e/23.09-reimbursement-of-printing-for-history-group.jpg?rlkey=u1uh3sve6scw9f96c4g2rnwe4&amp;dl=0" TargetMode="External"/><Relationship Id="rId60" Type="http://schemas.openxmlformats.org/officeDocument/2006/relationships/hyperlink" Target="https://www.dropbox.com/scl/fi/942o9f74f3qdebyfz0jh6/23.10-NNC-invoice-for-allotment-clearance.pdf?rlkey=s3thhcl46o5175z2xb4k4u5fy&amp;dl=0" TargetMode="External"/><Relationship Id="rId65" Type="http://schemas.openxmlformats.org/officeDocument/2006/relationships/hyperlink" Target="https://www.dropbox.com/scl/fi/huxdvyb720f7532verocq/23.11-SSE-streetlighting-Nov-inv-for-Oct-cons.pdf?rlkey=4fabu05gliqh6t303o2mplgat&amp;dl=0" TargetMode="External"/><Relationship Id="rId73" Type="http://schemas.openxmlformats.org/officeDocument/2006/relationships/hyperlink" Target="https://www.dropbox.com/scl/fi/6iv024r3b43fy5apw82mm/23.12-Aldous-gravel-invoice.jpg?rlkey=38yvtqo790xdxtgzrrp01iios&amp;dl=0" TargetMode="External"/><Relationship Id="rId78" Type="http://schemas.openxmlformats.org/officeDocument/2006/relationships/hyperlink" Target="https://www.dropbox.com/scl/fi/xlt7vl1bb9mtyi15bcy2k/Plough-Nov-23-Invoice-2917.pdf?rlkey=462oqbfjz7z47b8gs7qarsix7&amp;dl=0" TargetMode="External"/><Relationship Id="rId81" Type="http://schemas.openxmlformats.org/officeDocument/2006/relationships/hyperlink" Target="https://www.dropbox.com/scl/fi/uo068nxi5451ekrzi0u8g/24.01-SSE-Jan-inv-for-Dec-AED-in-phone-box.pdf?rlkey=54hlfjcw8ajr06p9zh8sfqhoi&amp;dl=0" TargetMode="External"/><Relationship Id="rId86" Type="http://schemas.openxmlformats.org/officeDocument/2006/relationships/hyperlink" Target="https://www.dropbox.com/scl/fi/vnmba80ffs1qomgwuquuk/January-streetlighting.pdf?rlkey=vmh3qcc3fkl1ibvrk4tprytcr&amp;dl=0" TargetMode="External"/><Relationship Id="rId94" Type="http://schemas.openxmlformats.org/officeDocument/2006/relationships/hyperlink" Target="https://www.dropbox.com/scl/fi/ityz82hgsrn86qj4fshlo/24.02-Pestforce-invoice-RED.pdf?rlkey=skg2it3cnateg7miwlklnn0dq&amp;dl=0" TargetMode="External"/><Relationship Id="rId4" Type="http://schemas.openxmlformats.org/officeDocument/2006/relationships/hyperlink" Target="https://www.dropbox.com/s/mj9al2mvt1dc5ah/23.04%20SSE%20AED.pdf?dl=0" TargetMode="External"/><Relationship Id="rId9" Type="http://schemas.openxmlformats.org/officeDocument/2006/relationships/hyperlink" Target="https://www.dropbox.com/s/8x2nddroj8aw2ky/23.04%20NCALC%20Invoice%20INV-2902.pdf?dl=0" TargetMode="External"/><Relationship Id="rId13" Type="http://schemas.openxmlformats.org/officeDocument/2006/relationships/hyperlink" Target="https://www.dropbox.com/s/fum0rrey07woh0d/23.05%20BHIB%20insurance%20Invoice.pdf?dl=0" TargetMode="External"/><Relationship Id="rId18" Type="http://schemas.openxmlformats.org/officeDocument/2006/relationships/hyperlink" Target="https://www.dropbox.com/s/mbm3cgr5ai4oc4t/23.05%20Amazon%20colouring%20pencils.pdf?dl=0" TargetMode="External"/><Relationship Id="rId39" Type="http://schemas.openxmlformats.org/officeDocument/2006/relationships/hyperlink" Target="https://www.dropbox.com/s/z11sjkb4pk136si/23.06%20Plough%20envionmental%20May%2023%20Invoice%202850.pdf?dl=0" TargetMode="External"/><Relationship Id="rId34" Type="http://schemas.openxmlformats.org/officeDocument/2006/relationships/hyperlink" Target="https://www.dropbox.com/scl/fi/5t3eqppx0ch0v6yivar7l/23.07-SSE-AED.pdf?rlkey=8kd21wzqafklehzhda0v3si09&amp;dl=0" TargetMode="External"/><Relationship Id="rId50" Type="http://schemas.openxmlformats.org/officeDocument/2006/relationships/hyperlink" Target="https://www.dropbox.com/scl/fi/bqnmhz793p87qmvzmr67h/2309-Website-Invoice-7680369.pdf?rlkey=fk45zww8xl8hi4kvsxysipzz1&amp;dl=0" TargetMode="External"/><Relationship Id="rId55" Type="http://schemas.openxmlformats.org/officeDocument/2006/relationships/hyperlink" Target="https://www.dropbox.com/scl/fi/kc3pmawq9evxl0nee36wu/23.09-cht.pdf?rlkey=79iqu2mehbgcybmwlu4anix0x&amp;dl=0" TargetMode="External"/><Relationship Id="rId76" Type="http://schemas.openxmlformats.org/officeDocument/2006/relationships/hyperlink" Target="https://www.dropbox.com/scl/fi/tngvscc95hfwul4r276dg/23.12-PDF-software.pdf?rlkey=kww75adm4053xiynzq0uyx3fy&amp;dl=0" TargetMode="External"/><Relationship Id="rId97" Type="http://schemas.openxmlformats.org/officeDocument/2006/relationships/printerSettings" Target="../printerSettings/printerSettings4.bin"/><Relationship Id="rId7" Type="http://schemas.openxmlformats.org/officeDocument/2006/relationships/hyperlink" Target="https://www.dropbox.com/s/b9wej207vwi8q1p/23.04%20Amazon%20Prime%20BusinessInvoice.pdf?dl=0" TargetMode="External"/><Relationship Id="rId71" Type="http://schemas.openxmlformats.org/officeDocument/2006/relationships/hyperlink" Target="https://www.dropbox.com/scl/fi/594p1brwksy1uc9acragz/23.11-Plough-Oct-23-Invoice-2906.pdf?rlkey=rmhal3hi68a9cioyzm3bbokey&amp;dl=0" TargetMode="External"/><Relationship Id="rId92" Type="http://schemas.openxmlformats.org/officeDocument/2006/relationships/hyperlink" Target="https://www.dropbox.com/scl/fi/7y9ogx4kf67irk5ckxo5s/23.03-Peterboroughorough-print-history-group-invoice-6131614135_INV_31378391.pdf?rlkey=ok1nwkqawy9l4wt0hz0ix6lq6&amp;dl=0" TargetMode="External"/><Relationship Id="rId2" Type="http://schemas.openxmlformats.org/officeDocument/2006/relationships/hyperlink" Target="https://www.dropbox.com/s/3sljghm4m0ud5n7/23.04%20SSE%20AEDi.pdf?dl=0" TargetMode="External"/><Relationship Id="rId29" Type="http://schemas.openxmlformats.org/officeDocument/2006/relationships/hyperlink" Target="https://www.dropbox.com/s/wmy5z2gjnr5lq6h/Neighbourhood%20Planning%20-%20End%20of%20Grant%20Report%20-%20Underspend%20Repayment%20NPG-12897.pdf?dl=0" TargetMode="External"/><Relationship Id="rId24" Type="http://schemas.openxmlformats.org/officeDocument/2006/relationships/hyperlink" Target="https://www.dropbox.com/s/pofkw7ejn50i8mm/23.06%20June%20approval%20of%20May%20invoice%20Screfix%20allotment%20sundries.pdf?dl=0" TargetMode="External"/><Relationship Id="rId40" Type="http://schemas.openxmlformats.org/officeDocument/2006/relationships/hyperlink" Target="https://www.dropbox.com/scl/fi/3plqlyjgwv3f4hzo93b9w/23.07-PAID-Invoice_17032_from_OAKFIELD_UK_LTD.pdf?rlkey=qoi7omlzz1xwkjzd2fj9j1v6o&amp;dl=0" TargetMode="External"/><Relationship Id="rId45" Type="http://schemas.openxmlformats.org/officeDocument/2006/relationships/hyperlink" Target="https://www.dropbox.com/scl/fi/joygri401b8fc1kdiyksf/23.08-Aug-AED-phone-box.pdf?rlkey=fyudec2xg6bxefohlya5gz5r9&amp;dl=0" TargetMode="External"/><Relationship Id="rId66" Type="http://schemas.openxmlformats.org/officeDocument/2006/relationships/hyperlink" Target="https://www.dropbox.com/scl/fi/3qj3bz5xun7l3l57i3uml/23.11-Oct-AED-phone-box.pdf?rlkey=xjv2vbo5etconjubda6yqg765&amp;dl=0" TargetMode="External"/><Relationship Id="rId87" Type="http://schemas.openxmlformats.org/officeDocument/2006/relationships/hyperlink" Target="https://www.dropbox.com/scl/fi/szpwbhtif23v5a145ohnq/22.02-SSE-AED-Dec-pd-in-Feb.pdf?rlkey=ptpxhuo1wavm8dngjlcyl2k0i&amp;dl=0" TargetMode="External"/><Relationship Id="rId61" Type="http://schemas.openxmlformats.org/officeDocument/2006/relationships/hyperlink" Target="https://www.dropbox.com/scl/fi/j7kya7vsb1gpw5m9f63rz/23.10-Nass-VH-673-biscuit-tin-ctty-cohesion.pdf?rlkey=o7zq8z3sc27vq5iqarhtfwvvz&amp;dl=0" TargetMode="External"/><Relationship Id="rId82" Type="http://schemas.openxmlformats.org/officeDocument/2006/relationships/hyperlink" Target="https://www.dropbox.com/s/iewrfxdbojgok1h/23.05%20SSE%20streetlighting.pdf?dl=0" TargetMode="External"/><Relationship Id="rId19" Type="http://schemas.openxmlformats.org/officeDocument/2006/relationships/hyperlink" Target="https://www.dropbox.com/s/ng3edvweqtdbkzk/23.05%20Amazon%20stickers.pdf?dl=0" TargetMode="External"/><Relationship Id="rId14" Type="http://schemas.openxmlformats.org/officeDocument/2006/relationships/hyperlink" Target="https://www.dropbox.com/s/tv91792655617a2/23.05%20Plough%20April%2023%20Invoice%202840.pdf?dl=0" TargetMode="External"/><Relationship Id="rId30" Type="http://schemas.openxmlformats.org/officeDocument/2006/relationships/hyperlink" Target="https://www.dropbox.com/s/qx59dsajpqb4zz4/23.06%20Easiprint%20Invoice%20No.%208377.pdf?dl=0" TargetMode="External"/><Relationship Id="rId35" Type="http://schemas.openxmlformats.org/officeDocument/2006/relationships/hyperlink" Target="https://www.dropbox.com/scl/fi/l1ffomgm5j7ekvdzyuthi/23.07-Parish-online-Receipt-2118-9567.pdf?rlkey=kv0qs0x4m0a0mdx9zd51aw2ar&amp;dl=0" TargetMode="External"/><Relationship Id="rId56" Type="http://schemas.openxmlformats.org/officeDocument/2006/relationships/hyperlink" Target="https://www.dropbox.com/scl/fi/1qdugmoyvpv26dmen2vhi/23.10-SSE-streetlighting-Oct-payt-Sept-consumption.pdf?rlkey=2pum5rutq8sv37lf23chwf4tf&amp;dl=0" TargetMode="External"/><Relationship Id="rId77" Type="http://schemas.openxmlformats.org/officeDocument/2006/relationships/hyperlink" Target="https://www.dropbox.com/scl/fi/08tgdvqy8kfot57t5cmyp/23.12-Peterborough-Print-paid-invoice.pdf?rlkey=7i0tvtdkaummiphpji7iy0y2u&amp;dl=0" TargetMode="External"/><Relationship Id="rId8" Type="http://schemas.openxmlformats.org/officeDocument/2006/relationships/hyperlink" Target="https://www.dropbox.com/s/oz5ac6tl9yxeuz0/23.04%20Easiprint%20history%20talk%20Invoice%20No.%208069.pdf?dl=0" TargetMode="External"/><Relationship Id="rId51" Type="http://schemas.openxmlformats.org/officeDocument/2006/relationships/hyperlink" Target="https://www.dropbox.com/scl/fi/osbqd31oj96ckegf0gy92/23.09-RED-Wave-allotment-water.pdf?rlkey=kfvkbsii5fl12shl9vlree1fs&amp;dl=0" TargetMode="External"/><Relationship Id="rId72" Type="http://schemas.openxmlformats.org/officeDocument/2006/relationships/hyperlink" Target="https://www.dropbox.com/scl/fi/qwqrw4jp0mydy9huvh56e/23.12-Wave-water-at-allotments.pdf?rlkey=8c15ssdtqmuunvs83trct60la&amp;dl=0" TargetMode="External"/><Relationship Id="rId93" Type="http://schemas.openxmlformats.org/officeDocument/2006/relationships/hyperlink" Target="https://www.dropbox.com/scl/fi/yctpo8ps5anzvnymh4ea0/23.03-Oct22-March23-office-costs-and-officer-expenses.xlsx?rlkey=ajzfaj0zg12888e10adgh0sc9&amp;dl=0" TargetMode="External"/><Relationship Id="rId98"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dropbox.com/sh/0ux9ca3ncfbcxqk/AAD7I5cqQIn21aJY7L1AKIHEa?dl=0"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sheetPr>
  <dimension ref="B1:U44"/>
  <sheetViews>
    <sheetView showGridLines="0" showRowColHeaders="0" tabSelected="1" workbookViewId="0"/>
  </sheetViews>
  <sheetFormatPr defaultColWidth="9.109375" defaultRowHeight="15.6"/>
  <cols>
    <col min="1" max="10" width="9.109375" style="155"/>
    <col min="11" max="11" width="9.88671875" style="155" customWidth="1"/>
    <col min="12" max="16384" width="9.109375" style="155"/>
  </cols>
  <sheetData>
    <row r="1" spans="2:21" ht="15" customHeight="1"/>
    <row r="2" spans="2:21" ht="15" customHeight="1">
      <c r="E2" s="156"/>
      <c r="F2" s="156"/>
      <c r="G2" s="156"/>
      <c r="H2" s="156"/>
      <c r="I2" s="156"/>
      <c r="J2" s="156"/>
      <c r="K2" s="156"/>
      <c r="L2" s="156"/>
      <c r="O2" s="157"/>
      <c r="P2" s="158"/>
      <c r="Q2" s="159" t="s">
        <v>207</v>
      </c>
    </row>
    <row r="3" spans="2:21" ht="41.25" customHeight="1">
      <c r="E3" s="160"/>
      <c r="F3" s="161"/>
      <c r="H3" s="162"/>
      <c r="M3" s="563"/>
      <c r="O3" s="565"/>
      <c r="Q3" s="566"/>
      <c r="R3" s="563"/>
      <c r="S3" s="563"/>
      <c r="T3" s="563"/>
      <c r="U3" s="563"/>
    </row>
    <row r="4" spans="2:21" ht="15" customHeight="1">
      <c r="B4" s="156"/>
      <c r="C4" s="156"/>
      <c r="D4" s="571" t="s">
        <v>432</v>
      </c>
      <c r="E4" s="156"/>
      <c r="G4" s="156"/>
      <c r="H4" s="156"/>
      <c r="I4" s="156"/>
      <c r="J4" s="156"/>
      <c r="M4" s="563"/>
      <c r="N4" s="563"/>
      <c r="O4" s="565"/>
      <c r="P4" s="565"/>
      <c r="Q4" s="565"/>
      <c r="R4" s="563"/>
      <c r="S4" s="563"/>
      <c r="T4" s="563"/>
      <c r="U4" s="563"/>
    </row>
    <row r="5" spans="2:21" ht="20.100000000000001" customHeight="1">
      <c r="M5" s="563"/>
      <c r="N5" s="563"/>
      <c r="O5" s="565"/>
      <c r="P5" s="844"/>
      <c r="Q5" s="844"/>
      <c r="R5" s="563"/>
      <c r="S5" s="563"/>
      <c r="T5" s="563"/>
      <c r="U5" s="563"/>
    </row>
    <row r="6" spans="2:21" ht="20.100000000000001" customHeight="1">
      <c r="B6" s="157"/>
      <c r="C6" s="157"/>
      <c r="E6" s="164"/>
      <c r="M6" s="565"/>
      <c r="S6" s="565"/>
      <c r="T6" s="565"/>
      <c r="U6" s="565"/>
    </row>
    <row r="7" spans="2:21" ht="20.100000000000001" customHeight="1">
      <c r="B7" s="157"/>
      <c r="C7" s="157"/>
      <c r="D7" s="165" t="s">
        <v>44</v>
      </c>
      <c r="E7" s="164"/>
      <c r="F7" s="845" t="s">
        <v>45</v>
      </c>
      <c r="G7" s="845"/>
      <c r="H7" s="845"/>
      <c r="I7" s="845"/>
      <c r="J7" s="845"/>
      <c r="K7" s="845"/>
      <c r="M7" s="565"/>
      <c r="N7" s="567" t="s">
        <v>208</v>
      </c>
      <c r="S7" s="565"/>
      <c r="T7" s="565"/>
      <c r="U7" s="565"/>
    </row>
    <row r="8" spans="2:21" ht="20.100000000000001" customHeight="1">
      <c r="B8" s="157"/>
      <c r="C8" s="157"/>
      <c r="E8" s="164"/>
      <c r="G8" s="157"/>
      <c r="H8" s="157"/>
      <c r="I8" s="157"/>
      <c r="M8" s="565"/>
      <c r="N8" s="567" t="s">
        <v>372</v>
      </c>
      <c r="S8" s="565"/>
      <c r="T8" s="565"/>
      <c r="U8" s="565"/>
    </row>
    <row r="9" spans="2:21" ht="20.100000000000001" customHeight="1">
      <c r="B9" s="157"/>
      <c r="C9" s="157"/>
      <c r="D9" s="165" t="s">
        <v>46</v>
      </c>
      <c r="E9" s="164"/>
      <c r="F9" s="166" t="s">
        <v>220</v>
      </c>
      <c r="G9" s="157"/>
      <c r="H9" s="157"/>
      <c r="I9" s="157"/>
      <c r="M9" s="565"/>
      <c r="N9" s="565"/>
      <c r="O9" s="565"/>
      <c r="P9" s="565"/>
      <c r="Q9" s="565"/>
      <c r="R9" s="565"/>
      <c r="S9" s="568"/>
    </row>
    <row r="10" spans="2:21" ht="20.100000000000001" customHeight="1">
      <c r="B10" s="157"/>
      <c r="C10" s="157"/>
      <c r="E10" s="157"/>
      <c r="F10" s="157"/>
      <c r="G10" s="157"/>
      <c r="H10" s="157"/>
      <c r="I10" s="157"/>
      <c r="J10" s="157"/>
      <c r="K10" s="157"/>
      <c r="L10" s="157"/>
      <c r="M10" s="565"/>
      <c r="N10" s="846" t="s">
        <v>54</v>
      </c>
      <c r="O10" s="846"/>
      <c r="P10" s="846"/>
      <c r="Q10" s="846"/>
      <c r="R10" s="846"/>
      <c r="S10" s="846"/>
      <c r="T10" s="565"/>
      <c r="U10" s="565"/>
    </row>
    <row r="11" spans="2:21" ht="20.100000000000001" customHeight="1">
      <c r="B11" s="157"/>
      <c r="D11" s="165" t="s">
        <v>47</v>
      </c>
      <c r="E11" s="167"/>
      <c r="F11" s="166" t="s">
        <v>219</v>
      </c>
      <c r="G11" s="163"/>
      <c r="H11" s="163"/>
      <c r="I11" s="163"/>
      <c r="J11" s="163"/>
      <c r="K11" s="157"/>
      <c r="L11" s="157"/>
      <c r="M11" s="565"/>
      <c r="N11" s="565"/>
      <c r="O11" s="565"/>
      <c r="P11" s="565"/>
      <c r="Q11" s="565"/>
      <c r="R11" s="565"/>
      <c r="S11" s="568"/>
      <c r="T11" s="565"/>
      <c r="U11" s="565"/>
    </row>
    <row r="12" spans="2:21" ht="20.100000000000001" customHeight="1">
      <c r="B12" s="157"/>
      <c r="C12" s="157"/>
      <c r="E12" s="168"/>
      <c r="F12" s="157"/>
      <c r="H12" s="157"/>
      <c r="I12" s="157"/>
      <c r="J12" s="157"/>
      <c r="K12" s="157"/>
      <c r="L12" s="157"/>
      <c r="M12" s="565"/>
      <c r="N12" s="846" t="s">
        <v>369</v>
      </c>
      <c r="O12" s="846"/>
      <c r="P12" s="846"/>
      <c r="Q12" s="846"/>
      <c r="R12" s="846"/>
      <c r="S12" s="846"/>
      <c r="T12" s="565"/>
      <c r="U12" s="565"/>
    </row>
    <row r="13" spans="2:21" ht="20.100000000000001" customHeight="1">
      <c r="B13" s="157"/>
      <c r="C13" s="157"/>
      <c r="D13" s="169" t="s">
        <v>48</v>
      </c>
      <c r="E13" s="157"/>
      <c r="F13" s="166" t="s">
        <v>49</v>
      </c>
      <c r="G13" s="157"/>
      <c r="H13" s="157"/>
      <c r="I13" s="157"/>
      <c r="J13" s="157"/>
      <c r="K13" s="157"/>
      <c r="L13" s="157"/>
      <c r="M13" s="565"/>
      <c r="N13" s="846"/>
      <c r="O13" s="846"/>
      <c r="P13" s="846"/>
      <c r="Q13" s="846"/>
      <c r="R13" s="846"/>
      <c r="S13" s="846"/>
      <c r="T13" s="565"/>
      <c r="U13" s="565"/>
    </row>
    <row r="14" spans="2:21" ht="20.100000000000001" customHeight="1">
      <c r="B14" s="157"/>
      <c r="C14" s="157"/>
      <c r="D14" s="170"/>
      <c r="E14" s="157"/>
      <c r="F14" s="157"/>
      <c r="G14" s="157"/>
      <c r="H14" s="157"/>
      <c r="I14" s="157"/>
      <c r="J14" s="157"/>
      <c r="K14" s="157"/>
      <c r="L14" s="157"/>
      <c r="M14" s="565"/>
      <c r="N14" s="564"/>
      <c r="O14" s="565"/>
      <c r="P14" s="565"/>
      <c r="Q14" s="565"/>
      <c r="R14" s="565"/>
      <c r="S14" s="568"/>
      <c r="T14" s="568"/>
      <c r="U14" s="565"/>
    </row>
    <row r="15" spans="2:21" ht="20.100000000000001" customHeight="1">
      <c r="M15" s="563"/>
      <c r="O15" s="563"/>
      <c r="P15" s="563"/>
      <c r="Q15" s="563"/>
      <c r="R15" s="563"/>
      <c r="S15" s="563"/>
      <c r="T15" s="563"/>
      <c r="U15" s="563"/>
    </row>
    <row r="16" spans="2:21" ht="20.100000000000001" customHeight="1">
      <c r="F16" s="171" t="s">
        <v>50</v>
      </c>
      <c r="I16" s="172" t="s">
        <v>55</v>
      </c>
      <c r="M16" s="563"/>
      <c r="N16" s="563"/>
      <c r="O16" s="563"/>
      <c r="P16" s="563"/>
      <c r="Q16" s="563"/>
      <c r="R16" s="563"/>
      <c r="S16" s="563"/>
      <c r="T16" s="563"/>
      <c r="U16" s="563"/>
    </row>
    <row r="17" spans="10:21" ht="20.100000000000001" customHeight="1">
      <c r="M17" s="563"/>
      <c r="N17" s="563"/>
      <c r="O17" s="563"/>
      <c r="P17" s="563"/>
      <c r="Q17" s="563"/>
      <c r="R17" s="563"/>
      <c r="S17" s="563"/>
      <c r="T17" s="563"/>
      <c r="U17" s="563"/>
    </row>
    <row r="18" spans="10:21" ht="15" customHeight="1">
      <c r="M18" s="563"/>
      <c r="N18" s="563"/>
      <c r="O18" s="563"/>
      <c r="P18" s="563"/>
      <c r="Q18" s="563"/>
      <c r="R18" s="563"/>
      <c r="S18" s="563"/>
      <c r="T18" s="563"/>
      <c r="U18" s="563"/>
    </row>
    <row r="19" spans="10:21" ht="15" customHeight="1">
      <c r="M19" s="563"/>
      <c r="N19" s="563"/>
      <c r="O19" s="563"/>
      <c r="P19" s="563"/>
      <c r="Q19" s="563"/>
      <c r="R19" s="563"/>
      <c r="S19" s="563"/>
      <c r="T19" s="563"/>
      <c r="U19" s="563"/>
    </row>
    <row r="20" spans="10:21" ht="15" customHeight="1">
      <c r="M20" s="563"/>
      <c r="N20" s="563"/>
      <c r="O20" s="563"/>
      <c r="P20" s="563"/>
      <c r="Q20" s="563"/>
      <c r="R20" s="563"/>
      <c r="S20" s="563"/>
      <c r="T20" s="563"/>
      <c r="U20" s="563"/>
    </row>
    <row r="21" spans="10:21" ht="15" customHeight="1">
      <c r="J21" s="212"/>
      <c r="M21" s="563"/>
      <c r="N21" s="563"/>
      <c r="O21" s="563"/>
      <c r="P21" s="563"/>
      <c r="Q21" s="563"/>
      <c r="R21" s="563"/>
      <c r="S21" s="563"/>
      <c r="T21" s="563"/>
      <c r="U21" s="563"/>
    </row>
    <row r="22" spans="10:21" ht="15" customHeight="1">
      <c r="M22" s="563"/>
      <c r="N22" s="563"/>
      <c r="O22" s="563"/>
      <c r="P22" s="563"/>
      <c r="Q22" s="563"/>
      <c r="R22" s="563"/>
      <c r="S22" s="563"/>
      <c r="T22" s="563"/>
      <c r="U22" s="563"/>
    </row>
    <row r="23" spans="10:21" ht="15" customHeight="1">
      <c r="N23" s="563"/>
      <c r="O23" s="563"/>
      <c r="P23" s="563"/>
      <c r="Q23" s="563"/>
      <c r="R23" s="563"/>
    </row>
    <row r="24" spans="10:21" ht="15" customHeight="1"/>
    <row r="25" spans="10:21" ht="15" customHeight="1"/>
    <row r="26" spans="10:21" ht="15" customHeight="1"/>
    <row r="27" spans="10:21" ht="15" customHeight="1"/>
    <row r="28" spans="10:21" ht="15" customHeight="1"/>
    <row r="29" spans="10:21" ht="15" customHeight="1"/>
    <row r="30" spans="10:21" ht="15" customHeight="1"/>
    <row r="31" spans="10:21" ht="15" customHeight="1"/>
    <row r="32" spans="10:2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sheetProtection algorithmName="SHA-512" hashValue="Tf42IEkaEtIsY0regkfAfMb7PWRGbQk+qVcff/kuaJz9LvrEzJRaxOWOimLN8Xx+dvtcnE+LDTQFlH24yd6lIA==" saltValue="K61ask/pWQ3+8+SjsshtWA==" spinCount="100000" sheet="1" objects="1" scenarios="1" selectLockedCells="1" selectUnlockedCells="1"/>
  <mergeCells count="4">
    <mergeCell ref="P5:Q5"/>
    <mergeCell ref="F7:K7"/>
    <mergeCell ref="N10:S10"/>
    <mergeCell ref="N12:S13"/>
  </mergeCells>
  <hyperlinks>
    <hyperlink ref="N9:S9" location="'Asset Register'!A1" display="-  A list of all the Parish Council's assets" xr:uid="{A6C677BF-1F77-4EC4-B783-1CF1B54FCA5C}"/>
    <hyperlink ref="N7" location="'Audit Bank rec'!A1" display="Audit reconciliation" xr:uid="{11D9B702-5579-42C1-9745-8E286DF17301}"/>
  </hyperlinks>
  <pageMargins left="0.70866141732283472" right="0.70866141732283472" top="0.74803149606299213" bottom="0.74803149606299213"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EC3C7-BBDB-4C12-9FFD-077FDEB9A652}">
  <sheetPr>
    <tabColor theme="3" tint="0.39997558519241921"/>
  </sheetPr>
  <dimension ref="A1:L41"/>
  <sheetViews>
    <sheetView workbookViewId="0">
      <selection activeCell="G11" sqref="G11"/>
    </sheetView>
  </sheetViews>
  <sheetFormatPr defaultRowHeight="14.4"/>
  <cols>
    <col min="1" max="1" width="1.6640625" style="971" customWidth="1"/>
    <col min="2" max="2" width="20.77734375" style="971" customWidth="1"/>
    <col min="3" max="3" width="11.5546875" style="971" customWidth="1"/>
    <col min="4" max="4" width="9.88671875" style="971" customWidth="1"/>
    <col min="5" max="5" width="10.109375" style="971" bestFit="1" customWidth="1"/>
    <col min="6" max="6" width="8.88671875" style="971"/>
    <col min="7" max="7" width="98.21875" style="971" customWidth="1"/>
    <col min="8" max="8" width="21.109375" style="971" customWidth="1"/>
    <col min="9" max="9" width="8.6640625" style="971" bestFit="1" customWidth="1"/>
    <col min="10" max="10" width="11" style="971" bestFit="1" customWidth="1"/>
    <col min="11" max="12" width="11.109375" style="971" bestFit="1" customWidth="1"/>
    <col min="13" max="256" width="8.88671875" style="971"/>
    <col min="257" max="257" width="1.6640625" style="971" customWidth="1"/>
    <col min="258" max="258" width="20.77734375" style="971" customWidth="1"/>
    <col min="259" max="259" width="11.5546875" style="971" customWidth="1"/>
    <col min="260" max="260" width="9.88671875" style="971" customWidth="1"/>
    <col min="261" max="261" width="10.109375" style="971" bestFit="1" customWidth="1"/>
    <col min="262" max="262" width="8.88671875" style="971"/>
    <col min="263" max="263" width="98.21875" style="971" customWidth="1"/>
    <col min="264" max="264" width="21.109375" style="971" customWidth="1"/>
    <col min="265" max="265" width="8.6640625" style="971" bestFit="1" customWidth="1"/>
    <col min="266" max="266" width="11" style="971" bestFit="1" customWidth="1"/>
    <col min="267" max="268" width="11.109375" style="971" bestFit="1" customWidth="1"/>
    <col min="269" max="512" width="8.88671875" style="971"/>
    <col min="513" max="513" width="1.6640625" style="971" customWidth="1"/>
    <col min="514" max="514" width="20.77734375" style="971" customWidth="1"/>
    <col min="515" max="515" width="11.5546875" style="971" customWidth="1"/>
    <col min="516" max="516" width="9.88671875" style="971" customWidth="1"/>
    <col min="517" max="517" width="10.109375" style="971" bestFit="1" customWidth="1"/>
    <col min="518" max="518" width="8.88671875" style="971"/>
    <col min="519" max="519" width="98.21875" style="971" customWidth="1"/>
    <col min="520" max="520" width="21.109375" style="971" customWidth="1"/>
    <col min="521" max="521" width="8.6640625" style="971" bestFit="1" customWidth="1"/>
    <col min="522" max="522" width="11" style="971" bestFit="1" customWidth="1"/>
    <col min="523" max="524" width="11.109375" style="971" bestFit="1" customWidth="1"/>
    <col min="525" max="768" width="8.88671875" style="971"/>
    <col min="769" max="769" width="1.6640625" style="971" customWidth="1"/>
    <col min="770" max="770" width="20.77734375" style="971" customWidth="1"/>
    <col min="771" max="771" width="11.5546875" style="971" customWidth="1"/>
    <col min="772" max="772" width="9.88671875" style="971" customWidth="1"/>
    <col min="773" max="773" width="10.109375" style="971" bestFit="1" customWidth="1"/>
    <col min="774" max="774" width="8.88671875" style="971"/>
    <col min="775" max="775" width="98.21875" style="971" customWidth="1"/>
    <col min="776" max="776" width="21.109375" style="971" customWidth="1"/>
    <col min="777" max="777" width="8.6640625" style="971" bestFit="1" customWidth="1"/>
    <col min="778" max="778" width="11" style="971" bestFit="1" customWidth="1"/>
    <col min="779" max="780" width="11.109375" style="971" bestFit="1" customWidth="1"/>
    <col min="781" max="1024" width="8.88671875" style="971"/>
    <col min="1025" max="1025" width="1.6640625" style="971" customWidth="1"/>
    <col min="1026" max="1026" width="20.77734375" style="971" customWidth="1"/>
    <col min="1027" max="1027" width="11.5546875" style="971" customWidth="1"/>
    <col min="1028" max="1028" width="9.88671875" style="971" customWidth="1"/>
    <col min="1029" max="1029" width="10.109375" style="971" bestFit="1" customWidth="1"/>
    <col min="1030" max="1030" width="8.88671875" style="971"/>
    <col min="1031" max="1031" width="98.21875" style="971" customWidth="1"/>
    <col min="1032" max="1032" width="21.109375" style="971" customWidth="1"/>
    <col min="1033" max="1033" width="8.6640625" style="971" bestFit="1" customWidth="1"/>
    <col min="1034" max="1034" width="11" style="971" bestFit="1" customWidth="1"/>
    <col min="1035" max="1036" width="11.109375" style="971" bestFit="1" customWidth="1"/>
    <col min="1037" max="1280" width="8.88671875" style="971"/>
    <col min="1281" max="1281" width="1.6640625" style="971" customWidth="1"/>
    <col min="1282" max="1282" width="20.77734375" style="971" customWidth="1"/>
    <col min="1283" max="1283" width="11.5546875" style="971" customWidth="1"/>
    <col min="1284" max="1284" width="9.88671875" style="971" customWidth="1"/>
    <col min="1285" max="1285" width="10.109375" style="971" bestFit="1" customWidth="1"/>
    <col min="1286" max="1286" width="8.88671875" style="971"/>
    <col min="1287" max="1287" width="98.21875" style="971" customWidth="1"/>
    <col min="1288" max="1288" width="21.109375" style="971" customWidth="1"/>
    <col min="1289" max="1289" width="8.6640625" style="971" bestFit="1" customWidth="1"/>
    <col min="1290" max="1290" width="11" style="971" bestFit="1" customWidth="1"/>
    <col min="1291" max="1292" width="11.109375" style="971" bestFit="1" customWidth="1"/>
    <col min="1293" max="1536" width="8.88671875" style="971"/>
    <col min="1537" max="1537" width="1.6640625" style="971" customWidth="1"/>
    <col min="1538" max="1538" width="20.77734375" style="971" customWidth="1"/>
    <col min="1539" max="1539" width="11.5546875" style="971" customWidth="1"/>
    <col min="1540" max="1540" width="9.88671875" style="971" customWidth="1"/>
    <col min="1541" max="1541" width="10.109375" style="971" bestFit="1" customWidth="1"/>
    <col min="1542" max="1542" width="8.88671875" style="971"/>
    <col min="1543" max="1543" width="98.21875" style="971" customWidth="1"/>
    <col min="1544" max="1544" width="21.109375" style="971" customWidth="1"/>
    <col min="1545" max="1545" width="8.6640625" style="971" bestFit="1" customWidth="1"/>
    <col min="1546" max="1546" width="11" style="971" bestFit="1" customWidth="1"/>
    <col min="1547" max="1548" width="11.109375" style="971" bestFit="1" customWidth="1"/>
    <col min="1549" max="1792" width="8.88671875" style="971"/>
    <col min="1793" max="1793" width="1.6640625" style="971" customWidth="1"/>
    <col min="1794" max="1794" width="20.77734375" style="971" customWidth="1"/>
    <col min="1795" max="1795" width="11.5546875" style="971" customWidth="1"/>
    <col min="1796" max="1796" width="9.88671875" style="971" customWidth="1"/>
    <col min="1797" max="1797" width="10.109375" style="971" bestFit="1" customWidth="1"/>
    <col min="1798" max="1798" width="8.88671875" style="971"/>
    <col min="1799" max="1799" width="98.21875" style="971" customWidth="1"/>
    <col min="1800" max="1800" width="21.109375" style="971" customWidth="1"/>
    <col min="1801" max="1801" width="8.6640625" style="971" bestFit="1" customWidth="1"/>
    <col min="1802" max="1802" width="11" style="971" bestFit="1" customWidth="1"/>
    <col min="1803" max="1804" width="11.109375" style="971" bestFit="1" customWidth="1"/>
    <col min="1805" max="2048" width="8.88671875" style="971"/>
    <col min="2049" max="2049" width="1.6640625" style="971" customWidth="1"/>
    <col min="2050" max="2050" width="20.77734375" style="971" customWidth="1"/>
    <col min="2051" max="2051" width="11.5546875" style="971" customWidth="1"/>
    <col min="2052" max="2052" width="9.88671875" style="971" customWidth="1"/>
    <col min="2053" max="2053" width="10.109375" style="971" bestFit="1" customWidth="1"/>
    <col min="2054" max="2054" width="8.88671875" style="971"/>
    <col min="2055" max="2055" width="98.21875" style="971" customWidth="1"/>
    <col min="2056" max="2056" width="21.109375" style="971" customWidth="1"/>
    <col min="2057" max="2057" width="8.6640625" style="971" bestFit="1" customWidth="1"/>
    <col min="2058" max="2058" width="11" style="971" bestFit="1" customWidth="1"/>
    <col min="2059" max="2060" width="11.109375" style="971" bestFit="1" customWidth="1"/>
    <col min="2061" max="2304" width="8.88671875" style="971"/>
    <col min="2305" max="2305" width="1.6640625" style="971" customWidth="1"/>
    <col min="2306" max="2306" width="20.77734375" style="971" customWidth="1"/>
    <col min="2307" max="2307" width="11.5546875" style="971" customWidth="1"/>
    <col min="2308" max="2308" width="9.88671875" style="971" customWidth="1"/>
    <col min="2309" max="2309" width="10.109375" style="971" bestFit="1" customWidth="1"/>
    <col min="2310" max="2310" width="8.88671875" style="971"/>
    <col min="2311" max="2311" width="98.21875" style="971" customWidth="1"/>
    <col min="2312" max="2312" width="21.109375" style="971" customWidth="1"/>
    <col min="2313" max="2313" width="8.6640625" style="971" bestFit="1" customWidth="1"/>
    <col min="2314" max="2314" width="11" style="971" bestFit="1" customWidth="1"/>
    <col min="2315" max="2316" width="11.109375" style="971" bestFit="1" customWidth="1"/>
    <col min="2317" max="2560" width="8.88671875" style="971"/>
    <col min="2561" max="2561" width="1.6640625" style="971" customWidth="1"/>
    <col min="2562" max="2562" width="20.77734375" style="971" customWidth="1"/>
    <col min="2563" max="2563" width="11.5546875" style="971" customWidth="1"/>
    <col min="2564" max="2564" width="9.88671875" style="971" customWidth="1"/>
    <col min="2565" max="2565" width="10.109375" style="971" bestFit="1" customWidth="1"/>
    <col min="2566" max="2566" width="8.88671875" style="971"/>
    <col min="2567" max="2567" width="98.21875" style="971" customWidth="1"/>
    <col min="2568" max="2568" width="21.109375" style="971" customWidth="1"/>
    <col min="2569" max="2569" width="8.6640625" style="971" bestFit="1" customWidth="1"/>
    <col min="2570" max="2570" width="11" style="971" bestFit="1" customWidth="1"/>
    <col min="2571" max="2572" width="11.109375" style="971" bestFit="1" customWidth="1"/>
    <col min="2573" max="2816" width="8.88671875" style="971"/>
    <col min="2817" max="2817" width="1.6640625" style="971" customWidth="1"/>
    <col min="2818" max="2818" width="20.77734375" style="971" customWidth="1"/>
    <col min="2819" max="2819" width="11.5546875" style="971" customWidth="1"/>
    <col min="2820" max="2820" width="9.88671875" style="971" customWidth="1"/>
    <col min="2821" max="2821" width="10.109375" style="971" bestFit="1" customWidth="1"/>
    <col min="2822" max="2822" width="8.88671875" style="971"/>
    <col min="2823" max="2823" width="98.21875" style="971" customWidth="1"/>
    <col min="2824" max="2824" width="21.109375" style="971" customWidth="1"/>
    <col min="2825" max="2825" width="8.6640625" style="971" bestFit="1" customWidth="1"/>
    <col min="2826" max="2826" width="11" style="971" bestFit="1" customWidth="1"/>
    <col min="2827" max="2828" width="11.109375" style="971" bestFit="1" customWidth="1"/>
    <col min="2829" max="3072" width="8.88671875" style="971"/>
    <col min="3073" max="3073" width="1.6640625" style="971" customWidth="1"/>
    <col min="3074" max="3074" width="20.77734375" style="971" customWidth="1"/>
    <col min="3075" max="3075" width="11.5546875" style="971" customWidth="1"/>
    <col min="3076" max="3076" width="9.88671875" style="971" customWidth="1"/>
    <col min="3077" max="3077" width="10.109375" style="971" bestFit="1" customWidth="1"/>
    <col min="3078" max="3078" width="8.88671875" style="971"/>
    <col min="3079" max="3079" width="98.21875" style="971" customWidth="1"/>
    <col min="3080" max="3080" width="21.109375" style="971" customWidth="1"/>
    <col min="3081" max="3081" width="8.6640625" style="971" bestFit="1" customWidth="1"/>
    <col min="3082" max="3082" width="11" style="971" bestFit="1" customWidth="1"/>
    <col min="3083" max="3084" width="11.109375" style="971" bestFit="1" customWidth="1"/>
    <col min="3085" max="3328" width="8.88671875" style="971"/>
    <col min="3329" max="3329" width="1.6640625" style="971" customWidth="1"/>
    <col min="3330" max="3330" width="20.77734375" style="971" customWidth="1"/>
    <col min="3331" max="3331" width="11.5546875" style="971" customWidth="1"/>
    <col min="3332" max="3332" width="9.88671875" style="971" customWidth="1"/>
    <col min="3333" max="3333" width="10.109375" style="971" bestFit="1" customWidth="1"/>
    <col min="3334" max="3334" width="8.88671875" style="971"/>
    <col min="3335" max="3335" width="98.21875" style="971" customWidth="1"/>
    <col min="3336" max="3336" width="21.109375" style="971" customWidth="1"/>
    <col min="3337" max="3337" width="8.6640625" style="971" bestFit="1" customWidth="1"/>
    <col min="3338" max="3338" width="11" style="971" bestFit="1" customWidth="1"/>
    <col min="3339" max="3340" width="11.109375" style="971" bestFit="1" customWidth="1"/>
    <col min="3341" max="3584" width="8.88671875" style="971"/>
    <col min="3585" max="3585" width="1.6640625" style="971" customWidth="1"/>
    <col min="3586" max="3586" width="20.77734375" style="971" customWidth="1"/>
    <col min="3587" max="3587" width="11.5546875" style="971" customWidth="1"/>
    <col min="3588" max="3588" width="9.88671875" style="971" customWidth="1"/>
    <col min="3589" max="3589" width="10.109375" style="971" bestFit="1" customWidth="1"/>
    <col min="3590" max="3590" width="8.88671875" style="971"/>
    <col min="3591" max="3591" width="98.21875" style="971" customWidth="1"/>
    <col min="3592" max="3592" width="21.109375" style="971" customWidth="1"/>
    <col min="3593" max="3593" width="8.6640625" style="971" bestFit="1" customWidth="1"/>
    <col min="3594" max="3594" width="11" style="971" bestFit="1" customWidth="1"/>
    <col min="3595" max="3596" width="11.109375" style="971" bestFit="1" customWidth="1"/>
    <col min="3597" max="3840" width="8.88671875" style="971"/>
    <col min="3841" max="3841" width="1.6640625" style="971" customWidth="1"/>
    <col min="3842" max="3842" width="20.77734375" style="971" customWidth="1"/>
    <col min="3843" max="3843" width="11.5546875" style="971" customWidth="1"/>
    <col min="3844" max="3844" width="9.88671875" style="971" customWidth="1"/>
    <col min="3845" max="3845" width="10.109375" style="971" bestFit="1" customWidth="1"/>
    <col min="3846" max="3846" width="8.88671875" style="971"/>
    <col min="3847" max="3847" width="98.21875" style="971" customWidth="1"/>
    <col min="3848" max="3848" width="21.109375" style="971" customWidth="1"/>
    <col min="3849" max="3849" width="8.6640625" style="971" bestFit="1" customWidth="1"/>
    <col min="3850" max="3850" width="11" style="971" bestFit="1" customWidth="1"/>
    <col min="3851" max="3852" width="11.109375" style="971" bestFit="1" customWidth="1"/>
    <col min="3853" max="4096" width="8.88671875" style="971"/>
    <col min="4097" max="4097" width="1.6640625" style="971" customWidth="1"/>
    <col min="4098" max="4098" width="20.77734375" style="971" customWidth="1"/>
    <col min="4099" max="4099" width="11.5546875" style="971" customWidth="1"/>
    <col min="4100" max="4100" width="9.88671875" style="971" customWidth="1"/>
    <col min="4101" max="4101" width="10.109375" style="971" bestFit="1" customWidth="1"/>
    <col min="4102" max="4102" width="8.88671875" style="971"/>
    <col min="4103" max="4103" width="98.21875" style="971" customWidth="1"/>
    <col min="4104" max="4104" width="21.109375" style="971" customWidth="1"/>
    <col min="4105" max="4105" width="8.6640625" style="971" bestFit="1" customWidth="1"/>
    <col min="4106" max="4106" width="11" style="971" bestFit="1" customWidth="1"/>
    <col min="4107" max="4108" width="11.109375" style="971" bestFit="1" customWidth="1"/>
    <col min="4109" max="4352" width="8.88671875" style="971"/>
    <col min="4353" max="4353" width="1.6640625" style="971" customWidth="1"/>
    <col min="4354" max="4354" width="20.77734375" style="971" customWidth="1"/>
    <col min="4355" max="4355" width="11.5546875" style="971" customWidth="1"/>
    <col min="4356" max="4356" width="9.88671875" style="971" customWidth="1"/>
    <col min="4357" max="4357" width="10.109375" style="971" bestFit="1" customWidth="1"/>
    <col min="4358" max="4358" width="8.88671875" style="971"/>
    <col min="4359" max="4359" width="98.21875" style="971" customWidth="1"/>
    <col min="4360" max="4360" width="21.109375" style="971" customWidth="1"/>
    <col min="4361" max="4361" width="8.6640625" style="971" bestFit="1" customWidth="1"/>
    <col min="4362" max="4362" width="11" style="971" bestFit="1" customWidth="1"/>
    <col min="4363" max="4364" width="11.109375" style="971" bestFit="1" customWidth="1"/>
    <col min="4365" max="4608" width="8.88671875" style="971"/>
    <col min="4609" max="4609" width="1.6640625" style="971" customWidth="1"/>
    <col min="4610" max="4610" width="20.77734375" style="971" customWidth="1"/>
    <col min="4611" max="4611" width="11.5546875" style="971" customWidth="1"/>
    <col min="4612" max="4612" width="9.88671875" style="971" customWidth="1"/>
    <col min="4613" max="4613" width="10.109375" style="971" bestFit="1" customWidth="1"/>
    <col min="4614" max="4614" width="8.88671875" style="971"/>
    <col min="4615" max="4615" width="98.21875" style="971" customWidth="1"/>
    <col min="4616" max="4616" width="21.109375" style="971" customWidth="1"/>
    <col min="4617" max="4617" width="8.6640625" style="971" bestFit="1" customWidth="1"/>
    <col min="4618" max="4618" width="11" style="971" bestFit="1" customWidth="1"/>
    <col min="4619" max="4620" width="11.109375" style="971" bestFit="1" customWidth="1"/>
    <col min="4621" max="4864" width="8.88671875" style="971"/>
    <col min="4865" max="4865" width="1.6640625" style="971" customWidth="1"/>
    <col min="4866" max="4866" width="20.77734375" style="971" customWidth="1"/>
    <col min="4867" max="4867" width="11.5546875" style="971" customWidth="1"/>
    <col min="4868" max="4868" width="9.88671875" style="971" customWidth="1"/>
    <col min="4869" max="4869" width="10.109375" style="971" bestFit="1" customWidth="1"/>
    <col min="4870" max="4870" width="8.88671875" style="971"/>
    <col min="4871" max="4871" width="98.21875" style="971" customWidth="1"/>
    <col min="4872" max="4872" width="21.109375" style="971" customWidth="1"/>
    <col min="4873" max="4873" width="8.6640625" style="971" bestFit="1" customWidth="1"/>
    <col min="4874" max="4874" width="11" style="971" bestFit="1" customWidth="1"/>
    <col min="4875" max="4876" width="11.109375" style="971" bestFit="1" customWidth="1"/>
    <col min="4877" max="5120" width="8.88671875" style="971"/>
    <col min="5121" max="5121" width="1.6640625" style="971" customWidth="1"/>
    <col min="5122" max="5122" width="20.77734375" style="971" customWidth="1"/>
    <col min="5123" max="5123" width="11.5546875" style="971" customWidth="1"/>
    <col min="5124" max="5124" width="9.88671875" style="971" customWidth="1"/>
    <col min="5125" max="5125" width="10.109375" style="971" bestFit="1" customWidth="1"/>
    <col min="5126" max="5126" width="8.88671875" style="971"/>
    <col min="5127" max="5127" width="98.21875" style="971" customWidth="1"/>
    <col min="5128" max="5128" width="21.109375" style="971" customWidth="1"/>
    <col min="5129" max="5129" width="8.6640625" style="971" bestFit="1" customWidth="1"/>
    <col min="5130" max="5130" width="11" style="971" bestFit="1" customWidth="1"/>
    <col min="5131" max="5132" width="11.109375" style="971" bestFit="1" customWidth="1"/>
    <col min="5133" max="5376" width="8.88671875" style="971"/>
    <col min="5377" max="5377" width="1.6640625" style="971" customWidth="1"/>
    <col min="5378" max="5378" width="20.77734375" style="971" customWidth="1"/>
    <col min="5379" max="5379" width="11.5546875" style="971" customWidth="1"/>
    <col min="5380" max="5380" width="9.88671875" style="971" customWidth="1"/>
    <col min="5381" max="5381" width="10.109375" style="971" bestFit="1" customWidth="1"/>
    <col min="5382" max="5382" width="8.88671875" style="971"/>
    <col min="5383" max="5383" width="98.21875" style="971" customWidth="1"/>
    <col min="5384" max="5384" width="21.109375" style="971" customWidth="1"/>
    <col min="5385" max="5385" width="8.6640625" style="971" bestFit="1" customWidth="1"/>
    <col min="5386" max="5386" width="11" style="971" bestFit="1" customWidth="1"/>
    <col min="5387" max="5388" width="11.109375" style="971" bestFit="1" customWidth="1"/>
    <col min="5389" max="5632" width="8.88671875" style="971"/>
    <col min="5633" max="5633" width="1.6640625" style="971" customWidth="1"/>
    <col min="5634" max="5634" width="20.77734375" style="971" customWidth="1"/>
    <col min="5635" max="5635" width="11.5546875" style="971" customWidth="1"/>
    <col min="5636" max="5636" width="9.88671875" style="971" customWidth="1"/>
    <col min="5637" max="5637" width="10.109375" style="971" bestFit="1" customWidth="1"/>
    <col min="5638" max="5638" width="8.88671875" style="971"/>
    <col min="5639" max="5639" width="98.21875" style="971" customWidth="1"/>
    <col min="5640" max="5640" width="21.109375" style="971" customWidth="1"/>
    <col min="5641" max="5641" width="8.6640625" style="971" bestFit="1" customWidth="1"/>
    <col min="5642" max="5642" width="11" style="971" bestFit="1" customWidth="1"/>
    <col min="5643" max="5644" width="11.109375" style="971" bestFit="1" customWidth="1"/>
    <col min="5645" max="5888" width="8.88671875" style="971"/>
    <col min="5889" max="5889" width="1.6640625" style="971" customWidth="1"/>
    <col min="5890" max="5890" width="20.77734375" style="971" customWidth="1"/>
    <col min="5891" max="5891" width="11.5546875" style="971" customWidth="1"/>
    <col min="5892" max="5892" width="9.88671875" style="971" customWidth="1"/>
    <col min="5893" max="5893" width="10.109375" style="971" bestFit="1" customWidth="1"/>
    <col min="5894" max="5894" width="8.88671875" style="971"/>
    <col min="5895" max="5895" width="98.21875" style="971" customWidth="1"/>
    <col min="5896" max="5896" width="21.109375" style="971" customWidth="1"/>
    <col min="5897" max="5897" width="8.6640625" style="971" bestFit="1" customWidth="1"/>
    <col min="5898" max="5898" width="11" style="971" bestFit="1" customWidth="1"/>
    <col min="5899" max="5900" width="11.109375" style="971" bestFit="1" customWidth="1"/>
    <col min="5901" max="6144" width="8.88671875" style="971"/>
    <col min="6145" max="6145" width="1.6640625" style="971" customWidth="1"/>
    <col min="6146" max="6146" width="20.77734375" style="971" customWidth="1"/>
    <col min="6147" max="6147" width="11.5546875" style="971" customWidth="1"/>
    <col min="6148" max="6148" width="9.88671875" style="971" customWidth="1"/>
    <col min="6149" max="6149" width="10.109375" style="971" bestFit="1" customWidth="1"/>
    <col min="6150" max="6150" width="8.88671875" style="971"/>
    <col min="6151" max="6151" width="98.21875" style="971" customWidth="1"/>
    <col min="6152" max="6152" width="21.109375" style="971" customWidth="1"/>
    <col min="6153" max="6153" width="8.6640625" style="971" bestFit="1" customWidth="1"/>
    <col min="6154" max="6154" width="11" style="971" bestFit="1" customWidth="1"/>
    <col min="6155" max="6156" width="11.109375" style="971" bestFit="1" customWidth="1"/>
    <col min="6157" max="6400" width="8.88671875" style="971"/>
    <col min="6401" max="6401" width="1.6640625" style="971" customWidth="1"/>
    <col min="6402" max="6402" width="20.77734375" style="971" customWidth="1"/>
    <col min="6403" max="6403" width="11.5546875" style="971" customWidth="1"/>
    <col min="6404" max="6404" width="9.88671875" style="971" customWidth="1"/>
    <col min="6405" max="6405" width="10.109375" style="971" bestFit="1" customWidth="1"/>
    <col min="6406" max="6406" width="8.88671875" style="971"/>
    <col min="6407" max="6407" width="98.21875" style="971" customWidth="1"/>
    <col min="6408" max="6408" width="21.109375" style="971" customWidth="1"/>
    <col min="6409" max="6409" width="8.6640625" style="971" bestFit="1" customWidth="1"/>
    <col min="6410" max="6410" width="11" style="971" bestFit="1" customWidth="1"/>
    <col min="6411" max="6412" width="11.109375" style="971" bestFit="1" customWidth="1"/>
    <col min="6413" max="6656" width="8.88671875" style="971"/>
    <col min="6657" max="6657" width="1.6640625" style="971" customWidth="1"/>
    <col min="6658" max="6658" width="20.77734375" style="971" customWidth="1"/>
    <col min="6659" max="6659" width="11.5546875" style="971" customWidth="1"/>
    <col min="6660" max="6660" width="9.88671875" style="971" customWidth="1"/>
    <col min="6661" max="6661" width="10.109375" style="971" bestFit="1" customWidth="1"/>
    <col min="6662" max="6662" width="8.88671875" style="971"/>
    <col min="6663" max="6663" width="98.21875" style="971" customWidth="1"/>
    <col min="6664" max="6664" width="21.109375" style="971" customWidth="1"/>
    <col min="6665" max="6665" width="8.6640625" style="971" bestFit="1" customWidth="1"/>
    <col min="6666" max="6666" width="11" style="971" bestFit="1" customWidth="1"/>
    <col min="6667" max="6668" width="11.109375" style="971" bestFit="1" customWidth="1"/>
    <col min="6669" max="6912" width="8.88671875" style="971"/>
    <col min="6913" max="6913" width="1.6640625" style="971" customWidth="1"/>
    <col min="6914" max="6914" width="20.77734375" style="971" customWidth="1"/>
    <col min="6915" max="6915" width="11.5546875" style="971" customWidth="1"/>
    <col min="6916" max="6916" width="9.88671875" style="971" customWidth="1"/>
    <col min="6917" max="6917" width="10.109375" style="971" bestFit="1" customWidth="1"/>
    <col min="6918" max="6918" width="8.88671875" style="971"/>
    <col min="6919" max="6919" width="98.21875" style="971" customWidth="1"/>
    <col min="6920" max="6920" width="21.109375" style="971" customWidth="1"/>
    <col min="6921" max="6921" width="8.6640625" style="971" bestFit="1" customWidth="1"/>
    <col min="6922" max="6922" width="11" style="971" bestFit="1" customWidth="1"/>
    <col min="6923" max="6924" width="11.109375" style="971" bestFit="1" customWidth="1"/>
    <col min="6925" max="7168" width="8.88671875" style="971"/>
    <col min="7169" max="7169" width="1.6640625" style="971" customWidth="1"/>
    <col min="7170" max="7170" width="20.77734375" style="971" customWidth="1"/>
    <col min="7171" max="7171" width="11.5546875" style="971" customWidth="1"/>
    <col min="7172" max="7172" width="9.88671875" style="971" customWidth="1"/>
    <col min="7173" max="7173" width="10.109375" style="971" bestFit="1" customWidth="1"/>
    <col min="7174" max="7174" width="8.88671875" style="971"/>
    <col min="7175" max="7175" width="98.21875" style="971" customWidth="1"/>
    <col min="7176" max="7176" width="21.109375" style="971" customWidth="1"/>
    <col min="7177" max="7177" width="8.6640625" style="971" bestFit="1" customWidth="1"/>
    <col min="7178" max="7178" width="11" style="971" bestFit="1" customWidth="1"/>
    <col min="7179" max="7180" width="11.109375" style="971" bestFit="1" customWidth="1"/>
    <col min="7181" max="7424" width="8.88671875" style="971"/>
    <col min="7425" max="7425" width="1.6640625" style="971" customWidth="1"/>
    <col min="7426" max="7426" width="20.77734375" style="971" customWidth="1"/>
    <col min="7427" max="7427" width="11.5546875" style="971" customWidth="1"/>
    <col min="7428" max="7428" width="9.88671875" style="971" customWidth="1"/>
    <col min="7429" max="7429" width="10.109375" style="971" bestFit="1" customWidth="1"/>
    <col min="7430" max="7430" width="8.88671875" style="971"/>
    <col min="7431" max="7431" width="98.21875" style="971" customWidth="1"/>
    <col min="7432" max="7432" width="21.109375" style="971" customWidth="1"/>
    <col min="7433" max="7433" width="8.6640625" style="971" bestFit="1" customWidth="1"/>
    <col min="7434" max="7434" width="11" style="971" bestFit="1" customWidth="1"/>
    <col min="7435" max="7436" width="11.109375" style="971" bestFit="1" customWidth="1"/>
    <col min="7437" max="7680" width="8.88671875" style="971"/>
    <col min="7681" max="7681" width="1.6640625" style="971" customWidth="1"/>
    <col min="7682" max="7682" width="20.77734375" style="971" customWidth="1"/>
    <col min="7683" max="7683" width="11.5546875" style="971" customWidth="1"/>
    <col min="7684" max="7684" width="9.88671875" style="971" customWidth="1"/>
    <col min="7685" max="7685" width="10.109375" style="971" bestFit="1" customWidth="1"/>
    <col min="7686" max="7686" width="8.88671875" style="971"/>
    <col min="7687" max="7687" width="98.21875" style="971" customWidth="1"/>
    <col min="7688" max="7688" width="21.109375" style="971" customWidth="1"/>
    <col min="7689" max="7689" width="8.6640625" style="971" bestFit="1" customWidth="1"/>
    <col min="7690" max="7690" width="11" style="971" bestFit="1" customWidth="1"/>
    <col min="7691" max="7692" width="11.109375" style="971" bestFit="1" customWidth="1"/>
    <col min="7693" max="7936" width="8.88671875" style="971"/>
    <col min="7937" max="7937" width="1.6640625" style="971" customWidth="1"/>
    <col min="7938" max="7938" width="20.77734375" style="971" customWidth="1"/>
    <col min="7939" max="7939" width="11.5546875" style="971" customWidth="1"/>
    <col min="7940" max="7940" width="9.88671875" style="971" customWidth="1"/>
    <col min="7941" max="7941" width="10.109375" style="971" bestFit="1" customWidth="1"/>
    <col min="7942" max="7942" width="8.88671875" style="971"/>
    <col min="7943" max="7943" width="98.21875" style="971" customWidth="1"/>
    <col min="7944" max="7944" width="21.109375" style="971" customWidth="1"/>
    <col min="7945" max="7945" width="8.6640625" style="971" bestFit="1" customWidth="1"/>
    <col min="7946" max="7946" width="11" style="971" bestFit="1" customWidth="1"/>
    <col min="7947" max="7948" width="11.109375" style="971" bestFit="1" customWidth="1"/>
    <col min="7949" max="8192" width="8.88671875" style="971"/>
    <col min="8193" max="8193" width="1.6640625" style="971" customWidth="1"/>
    <col min="8194" max="8194" width="20.77734375" style="971" customWidth="1"/>
    <col min="8195" max="8195" width="11.5546875" style="971" customWidth="1"/>
    <col min="8196" max="8196" width="9.88671875" style="971" customWidth="1"/>
    <col min="8197" max="8197" width="10.109375" style="971" bestFit="1" customWidth="1"/>
    <col min="8198" max="8198" width="8.88671875" style="971"/>
    <col min="8199" max="8199" width="98.21875" style="971" customWidth="1"/>
    <col min="8200" max="8200" width="21.109375" style="971" customWidth="1"/>
    <col min="8201" max="8201" width="8.6640625" style="971" bestFit="1" customWidth="1"/>
    <col min="8202" max="8202" width="11" style="971" bestFit="1" customWidth="1"/>
    <col min="8203" max="8204" width="11.109375" style="971" bestFit="1" customWidth="1"/>
    <col min="8205" max="8448" width="8.88671875" style="971"/>
    <col min="8449" max="8449" width="1.6640625" style="971" customWidth="1"/>
    <col min="8450" max="8450" width="20.77734375" style="971" customWidth="1"/>
    <col min="8451" max="8451" width="11.5546875" style="971" customWidth="1"/>
    <col min="8452" max="8452" width="9.88671875" style="971" customWidth="1"/>
    <col min="8453" max="8453" width="10.109375" style="971" bestFit="1" customWidth="1"/>
    <col min="8454" max="8454" width="8.88671875" style="971"/>
    <col min="8455" max="8455" width="98.21875" style="971" customWidth="1"/>
    <col min="8456" max="8456" width="21.109375" style="971" customWidth="1"/>
    <col min="8457" max="8457" width="8.6640625" style="971" bestFit="1" customWidth="1"/>
    <col min="8458" max="8458" width="11" style="971" bestFit="1" customWidth="1"/>
    <col min="8459" max="8460" width="11.109375" style="971" bestFit="1" customWidth="1"/>
    <col min="8461" max="8704" width="8.88671875" style="971"/>
    <col min="8705" max="8705" width="1.6640625" style="971" customWidth="1"/>
    <col min="8706" max="8706" width="20.77734375" style="971" customWidth="1"/>
    <col min="8707" max="8707" width="11.5546875" style="971" customWidth="1"/>
    <col min="8708" max="8708" width="9.88671875" style="971" customWidth="1"/>
    <col min="8709" max="8709" width="10.109375" style="971" bestFit="1" customWidth="1"/>
    <col min="8710" max="8710" width="8.88671875" style="971"/>
    <col min="8711" max="8711" width="98.21875" style="971" customWidth="1"/>
    <col min="8712" max="8712" width="21.109375" style="971" customWidth="1"/>
    <col min="8713" max="8713" width="8.6640625" style="971" bestFit="1" customWidth="1"/>
    <col min="8714" max="8714" width="11" style="971" bestFit="1" customWidth="1"/>
    <col min="8715" max="8716" width="11.109375" style="971" bestFit="1" customWidth="1"/>
    <col min="8717" max="8960" width="8.88671875" style="971"/>
    <col min="8961" max="8961" width="1.6640625" style="971" customWidth="1"/>
    <col min="8962" max="8962" width="20.77734375" style="971" customWidth="1"/>
    <col min="8963" max="8963" width="11.5546875" style="971" customWidth="1"/>
    <col min="8964" max="8964" width="9.88671875" style="971" customWidth="1"/>
    <col min="8965" max="8965" width="10.109375" style="971" bestFit="1" customWidth="1"/>
    <col min="8966" max="8966" width="8.88671875" style="971"/>
    <col min="8967" max="8967" width="98.21875" style="971" customWidth="1"/>
    <col min="8968" max="8968" width="21.109375" style="971" customWidth="1"/>
    <col min="8969" max="8969" width="8.6640625" style="971" bestFit="1" customWidth="1"/>
    <col min="8970" max="8970" width="11" style="971" bestFit="1" customWidth="1"/>
    <col min="8971" max="8972" width="11.109375" style="971" bestFit="1" customWidth="1"/>
    <col min="8973" max="9216" width="8.88671875" style="971"/>
    <col min="9217" max="9217" width="1.6640625" style="971" customWidth="1"/>
    <col min="9218" max="9218" width="20.77734375" style="971" customWidth="1"/>
    <col min="9219" max="9219" width="11.5546875" style="971" customWidth="1"/>
    <col min="9220" max="9220" width="9.88671875" style="971" customWidth="1"/>
    <col min="9221" max="9221" width="10.109375" style="971" bestFit="1" customWidth="1"/>
    <col min="9222" max="9222" width="8.88671875" style="971"/>
    <col min="9223" max="9223" width="98.21875" style="971" customWidth="1"/>
    <col min="9224" max="9224" width="21.109375" style="971" customWidth="1"/>
    <col min="9225" max="9225" width="8.6640625" style="971" bestFit="1" customWidth="1"/>
    <col min="9226" max="9226" width="11" style="971" bestFit="1" customWidth="1"/>
    <col min="9227" max="9228" width="11.109375" style="971" bestFit="1" customWidth="1"/>
    <col min="9229" max="9472" width="8.88671875" style="971"/>
    <col min="9473" max="9473" width="1.6640625" style="971" customWidth="1"/>
    <col min="9474" max="9474" width="20.77734375" style="971" customWidth="1"/>
    <col min="9475" max="9475" width="11.5546875" style="971" customWidth="1"/>
    <col min="9476" max="9476" width="9.88671875" style="971" customWidth="1"/>
    <col min="9477" max="9477" width="10.109375" style="971" bestFit="1" customWidth="1"/>
    <col min="9478" max="9478" width="8.88671875" style="971"/>
    <col min="9479" max="9479" width="98.21875" style="971" customWidth="1"/>
    <col min="9480" max="9480" width="21.109375" style="971" customWidth="1"/>
    <col min="9481" max="9481" width="8.6640625" style="971" bestFit="1" customWidth="1"/>
    <col min="9482" max="9482" width="11" style="971" bestFit="1" customWidth="1"/>
    <col min="9483" max="9484" width="11.109375" style="971" bestFit="1" customWidth="1"/>
    <col min="9485" max="9728" width="8.88671875" style="971"/>
    <col min="9729" max="9729" width="1.6640625" style="971" customWidth="1"/>
    <col min="9730" max="9730" width="20.77734375" style="971" customWidth="1"/>
    <col min="9731" max="9731" width="11.5546875" style="971" customWidth="1"/>
    <col min="9732" max="9732" width="9.88671875" style="971" customWidth="1"/>
    <col min="9733" max="9733" width="10.109375" style="971" bestFit="1" customWidth="1"/>
    <col min="9734" max="9734" width="8.88671875" style="971"/>
    <col min="9735" max="9735" width="98.21875" style="971" customWidth="1"/>
    <col min="9736" max="9736" width="21.109375" style="971" customWidth="1"/>
    <col min="9737" max="9737" width="8.6640625" style="971" bestFit="1" customWidth="1"/>
    <col min="9738" max="9738" width="11" style="971" bestFit="1" customWidth="1"/>
    <col min="9739" max="9740" width="11.109375" style="971" bestFit="1" customWidth="1"/>
    <col min="9741" max="9984" width="8.88671875" style="971"/>
    <col min="9985" max="9985" width="1.6640625" style="971" customWidth="1"/>
    <col min="9986" max="9986" width="20.77734375" style="971" customWidth="1"/>
    <col min="9987" max="9987" width="11.5546875" style="971" customWidth="1"/>
    <col min="9988" max="9988" width="9.88671875" style="971" customWidth="1"/>
    <col min="9989" max="9989" width="10.109375" style="971" bestFit="1" customWidth="1"/>
    <col min="9990" max="9990" width="8.88671875" style="971"/>
    <col min="9991" max="9991" width="98.21875" style="971" customWidth="1"/>
    <col min="9992" max="9992" width="21.109375" style="971" customWidth="1"/>
    <col min="9993" max="9993" width="8.6640625" style="971" bestFit="1" customWidth="1"/>
    <col min="9994" max="9994" width="11" style="971" bestFit="1" customWidth="1"/>
    <col min="9995" max="9996" width="11.109375" style="971" bestFit="1" customWidth="1"/>
    <col min="9997" max="10240" width="8.88671875" style="971"/>
    <col min="10241" max="10241" width="1.6640625" style="971" customWidth="1"/>
    <col min="10242" max="10242" width="20.77734375" style="971" customWidth="1"/>
    <col min="10243" max="10243" width="11.5546875" style="971" customWidth="1"/>
    <col min="10244" max="10244" width="9.88671875" style="971" customWidth="1"/>
    <col min="10245" max="10245" width="10.109375" style="971" bestFit="1" customWidth="1"/>
    <col min="10246" max="10246" width="8.88671875" style="971"/>
    <col min="10247" max="10247" width="98.21875" style="971" customWidth="1"/>
    <col min="10248" max="10248" width="21.109375" style="971" customWidth="1"/>
    <col min="10249" max="10249" width="8.6640625" style="971" bestFit="1" customWidth="1"/>
    <col min="10250" max="10250" width="11" style="971" bestFit="1" customWidth="1"/>
    <col min="10251" max="10252" width="11.109375" style="971" bestFit="1" customWidth="1"/>
    <col min="10253" max="10496" width="8.88671875" style="971"/>
    <col min="10497" max="10497" width="1.6640625" style="971" customWidth="1"/>
    <col min="10498" max="10498" width="20.77734375" style="971" customWidth="1"/>
    <col min="10499" max="10499" width="11.5546875" style="971" customWidth="1"/>
    <col min="10500" max="10500" width="9.88671875" style="971" customWidth="1"/>
    <col min="10501" max="10501" width="10.109375" style="971" bestFit="1" customWidth="1"/>
    <col min="10502" max="10502" width="8.88671875" style="971"/>
    <col min="10503" max="10503" width="98.21875" style="971" customWidth="1"/>
    <col min="10504" max="10504" width="21.109375" style="971" customWidth="1"/>
    <col min="10505" max="10505" width="8.6640625" style="971" bestFit="1" customWidth="1"/>
    <col min="10506" max="10506" width="11" style="971" bestFit="1" customWidth="1"/>
    <col min="10507" max="10508" width="11.109375" style="971" bestFit="1" customWidth="1"/>
    <col min="10509" max="10752" width="8.88671875" style="971"/>
    <col min="10753" max="10753" width="1.6640625" style="971" customWidth="1"/>
    <col min="10754" max="10754" width="20.77734375" style="971" customWidth="1"/>
    <col min="10755" max="10755" width="11.5546875" style="971" customWidth="1"/>
    <col min="10756" max="10756" width="9.88671875" style="971" customWidth="1"/>
    <col min="10757" max="10757" width="10.109375" style="971" bestFit="1" customWidth="1"/>
    <col min="10758" max="10758" width="8.88671875" style="971"/>
    <col min="10759" max="10759" width="98.21875" style="971" customWidth="1"/>
    <col min="10760" max="10760" width="21.109375" style="971" customWidth="1"/>
    <col min="10761" max="10761" width="8.6640625" style="971" bestFit="1" customWidth="1"/>
    <col min="10762" max="10762" width="11" style="971" bestFit="1" customWidth="1"/>
    <col min="10763" max="10764" width="11.109375" style="971" bestFit="1" customWidth="1"/>
    <col min="10765" max="11008" width="8.88671875" style="971"/>
    <col min="11009" max="11009" width="1.6640625" style="971" customWidth="1"/>
    <col min="11010" max="11010" width="20.77734375" style="971" customWidth="1"/>
    <col min="11011" max="11011" width="11.5546875" style="971" customWidth="1"/>
    <col min="11012" max="11012" width="9.88671875" style="971" customWidth="1"/>
    <col min="11013" max="11013" width="10.109375" style="971" bestFit="1" customWidth="1"/>
    <col min="11014" max="11014" width="8.88671875" style="971"/>
    <col min="11015" max="11015" width="98.21875" style="971" customWidth="1"/>
    <col min="11016" max="11016" width="21.109375" style="971" customWidth="1"/>
    <col min="11017" max="11017" width="8.6640625" style="971" bestFit="1" customWidth="1"/>
    <col min="11018" max="11018" width="11" style="971" bestFit="1" customWidth="1"/>
    <col min="11019" max="11020" width="11.109375" style="971" bestFit="1" customWidth="1"/>
    <col min="11021" max="11264" width="8.88671875" style="971"/>
    <col min="11265" max="11265" width="1.6640625" style="971" customWidth="1"/>
    <col min="11266" max="11266" width="20.77734375" style="971" customWidth="1"/>
    <col min="11267" max="11267" width="11.5546875" style="971" customWidth="1"/>
    <col min="11268" max="11268" width="9.88671875" style="971" customWidth="1"/>
    <col min="11269" max="11269" width="10.109375" style="971" bestFit="1" customWidth="1"/>
    <col min="11270" max="11270" width="8.88671875" style="971"/>
    <col min="11271" max="11271" width="98.21875" style="971" customWidth="1"/>
    <col min="11272" max="11272" width="21.109375" style="971" customWidth="1"/>
    <col min="11273" max="11273" width="8.6640625" style="971" bestFit="1" customWidth="1"/>
    <col min="11274" max="11274" width="11" style="971" bestFit="1" customWidth="1"/>
    <col min="11275" max="11276" width="11.109375" style="971" bestFit="1" customWidth="1"/>
    <col min="11277" max="11520" width="8.88671875" style="971"/>
    <col min="11521" max="11521" width="1.6640625" style="971" customWidth="1"/>
    <col min="11522" max="11522" width="20.77734375" style="971" customWidth="1"/>
    <col min="11523" max="11523" width="11.5546875" style="971" customWidth="1"/>
    <col min="11524" max="11524" width="9.88671875" style="971" customWidth="1"/>
    <col min="11525" max="11525" width="10.109375" style="971" bestFit="1" customWidth="1"/>
    <col min="11526" max="11526" width="8.88671875" style="971"/>
    <col min="11527" max="11527" width="98.21875" style="971" customWidth="1"/>
    <col min="11528" max="11528" width="21.109375" style="971" customWidth="1"/>
    <col min="11529" max="11529" width="8.6640625" style="971" bestFit="1" customWidth="1"/>
    <col min="11530" max="11530" width="11" style="971" bestFit="1" customWidth="1"/>
    <col min="11531" max="11532" width="11.109375" style="971" bestFit="1" customWidth="1"/>
    <col min="11533" max="11776" width="8.88671875" style="971"/>
    <col min="11777" max="11777" width="1.6640625" style="971" customWidth="1"/>
    <col min="11778" max="11778" width="20.77734375" style="971" customWidth="1"/>
    <col min="11779" max="11779" width="11.5546875" style="971" customWidth="1"/>
    <col min="11780" max="11780" width="9.88671875" style="971" customWidth="1"/>
    <col min="11781" max="11781" width="10.109375" style="971" bestFit="1" customWidth="1"/>
    <col min="11782" max="11782" width="8.88671875" style="971"/>
    <col min="11783" max="11783" width="98.21875" style="971" customWidth="1"/>
    <col min="11784" max="11784" width="21.109375" style="971" customWidth="1"/>
    <col min="11785" max="11785" width="8.6640625" style="971" bestFit="1" customWidth="1"/>
    <col min="11786" max="11786" width="11" style="971" bestFit="1" customWidth="1"/>
    <col min="11787" max="11788" width="11.109375" style="971" bestFit="1" customWidth="1"/>
    <col min="11789" max="12032" width="8.88671875" style="971"/>
    <col min="12033" max="12033" width="1.6640625" style="971" customWidth="1"/>
    <col min="12034" max="12034" width="20.77734375" style="971" customWidth="1"/>
    <col min="12035" max="12035" width="11.5546875" style="971" customWidth="1"/>
    <col min="12036" max="12036" width="9.88671875" style="971" customWidth="1"/>
    <col min="12037" max="12037" width="10.109375" style="971" bestFit="1" customWidth="1"/>
    <col min="12038" max="12038" width="8.88671875" style="971"/>
    <col min="12039" max="12039" width="98.21875" style="971" customWidth="1"/>
    <col min="12040" max="12040" width="21.109375" style="971" customWidth="1"/>
    <col min="12041" max="12041" width="8.6640625" style="971" bestFit="1" customWidth="1"/>
    <col min="12042" max="12042" width="11" style="971" bestFit="1" customWidth="1"/>
    <col min="12043" max="12044" width="11.109375" style="971" bestFit="1" customWidth="1"/>
    <col min="12045" max="12288" width="8.88671875" style="971"/>
    <col min="12289" max="12289" width="1.6640625" style="971" customWidth="1"/>
    <col min="12290" max="12290" width="20.77734375" style="971" customWidth="1"/>
    <col min="12291" max="12291" width="11.5546875" style="971" customWidth="1"/>
    <col min="12292" max="12292" width="9.88671875" style="971" customWidth="1"/>
    <col min="12293" max="12293" width="10.109375" style="971" bestFit="1" customWidth="1"/>
    <col min="12294" max="12294" width="8.88671875" style="971"/>
    <col min="12295" max="12295" width="98.21875" style="971" customWidth="1"/>
    <col min="12296" max="12296" width="21.109375" style="971" customWidth="1"/>
    <col min="12297" max="12297" width="8.6640625" style="971" bestFit="1" customWidth="1"/>
    <col min="12298" max="12298" width="11" style="971" bestFit="1" customWidth="1"/>
    <col min="12299" max="12300" width="11.109375" style="971" bestFit="1" customWidth="1"/>
    <col min="12301" max="12544" width="8.88671875" style="971"/>
    <col min="12545" max="12545" width="1.6640625" style="971" customWidth="1"/>
    <col min="12546" max="12546" width="20.77734375" style="971" customWidth="1"/>
    <col min="12547" max="12547" width="11.5546875" style="971" customWidth="1"/>
    <col min="12548" max="12548" width="9.88671875" style="971" customWidth="1"/>
    <col min="12549" max="12549" width="10.109375" style="971" bestFit="1" customWidth="1"/>
    <col min="12550" max="12550" width="8.88671875" style="971"/>
    <col min="12551" max="12551" width="98.21875" style="971" customWidth="1"/>
    <col min="12552" max="12552" width="21.109375" style="971" customWidth="1"/>
    <col min="12553" max="12553" width="8.6640625" style="971" bestFit="1" customWidth="1"/>
    <col min="12554" max="12554" width="11" style="971" bestFit="1" customWidth="1"/>
    <col min="12555" max="12556" width="11.109375" style="971" bestFit="1" customWidth="1"/>
    <col min="12557" max="12800" width="8.88671875" style="971"/>
    <col min="12801" max="12801" width="1.6640625" style="971" customWidth="1"/>
    <col min="12802" max="12802" width="20.77734375" style="971" customWidth="1"/>
    <col min="12803" max="12803" width="11.5546875" style="971" customWidth="1"/>
    <col min="12804" max="12804" width="9.88671875" style="971" customWidth="1"/>
    <col min="12805" max="12805" width="10.109375" style="971" bestFit="1" customWidth="1"/>
    <col min="12806" max="12806" width="8.88671875" style="971"/>
    <col min="12807" max="12807" width="98.21875" style="971" customWidth="1"/>
    <col min="12808" max="12808" width="21.109375" style="971" customWidth="1"/>
    <col min="12809" max="12809" width="8.6640625" style="971" bestFit="1" customWidth="1"/>
    <col min="12810" max="12810" width="11" style="971" bestFit="1" customWidth="1"/>
    <col min="12811" max="12812" width="11.109375" style="971" bestFit="1" customWidth="1"/>
    <col min="12813" max="13056" width="8.88671875" style="971"/>
    <col min="13057" max="13057" width="1.6640625" style="971" customWidth="1"/>
    <col min="13058" max="13058" width="20.77734375" style="971" customWidth="1"/>
    <col min="13059" max="13059" width="11.5546875" style="971" customWidth="1"/>
    <col min="13060" max="13060" width="9.88671875" style="971" customWidth="1"/>
    <col min="13061" max="13061" width="10.109375" style="971" bestFit="1" customWidth="1"/>
    <col min="13062" max="13062" width="8.88671875" style="971"/>
    <col min="13063" max="13063" width="98.21875" style="971" customWidth="1"/>
    <col min="13064" max="13064" width="21.109375" style="971" customWidth="1"/>
    <col min="13065" max="13065" width="8.6640625" style="971" bestFit="1" customWidth="1"/>
    <col min="13066" max="13066" width="11" style="971" bestFit="1" customWidth="1"/>
    <col min="13067" max="13068" width="11.109375" style="971" bestFit="1" customWidth="1"/>
    <col min="13069" max="13312" width="8.88671875" style="971"/>
    <col min="13313" max="13313" width="1.6640625" style="971" customWidth="1"/>
    <col min="13314" max="13314" width="20.77734375" style="971" customWidth="1"/>
    <col min="13315" max="13315" width="11.5546875" style="971" customWidth="1"/>
    <col min="13316" max="13316" width="9.88671875" style="971" customWidth="1"/>
    <col min="13317" max="13317" width="10.109375" style="971" bestFit="1" customWidth="1"/>
    <col min="13318" max="13318" width="8.88671875" style="971"/>
    <col min="13319" max="13319" width="98.21875" style="971" customWidth="1"/>
    <col min="13320" max="13320" width="21.109375" style="971" customWidth="1"/>
    <col min="13321" max="13321" width="8.6640625" style="971" bestFit="1" customWidth="1"/>
    <col min="13322" max="13322" width="11" style="971" bestFit="1" customWidth="1"/>
    <col min="13323" max="13324" width="11.109375" style="971" bestFit="1" customWidth="1"/>
    <col min="13325" max="13568" width="8.88671875" style="971"/>
    <col min="13569" max="13569" width="1.6640625" style="971" customWidth="1"/>
    <col min="13570" max="13570" width="20.77734375" style="971" customWidth="1"/>
    <col min="13571" max="13571" width="11.5546875" style="971" customWidth="1"/>
    <col min="13572" max="13572" width="9.88671875" style="971" customWidth="1"/>
    <col min="13573" max="13573" width="10.109375" style="971" bestFit="1" customWidth="1"/>
    <col min="13574" max="13574" width="8.88671875" style="971"/>
    <col min="13575" max="13575" width="98.21875" style="971" customWidth="1"/>
    <col min="13576" max="13576" width="21.109375" style="971" customWidth="1"/>
    <col min="13577" max="13577" width="8.6640625" style="971" bestFit="1" customWidth="1"/>
    <col min="13578" max="13578" width="11" style="971" bestFit="1" customWidth="1"/>
    <col min="13579" max="13580" width="11.109375" style="971" bestFit="1" customWidth="1"/>
    <col min="13581" max="13824" width="8.88671875" style="971"/>
    <col min="13825" max="13825" width="1.6640625" style="971" customWidth="1"/>
    <col min="13826" max="13826" width="20.77734375" style="971" customWidth="1"/>
    <col min="13827" max="13827" width="11.5546875" style="971" customWidth="1"/>
    <col min="13828" max="13828" width="9.88671875" style="971" customWidth="1"/>
    <col min="13829" max="13829" width="10.109375" style="971" bestFit="1" customWidth="1"/>
    <col min="13830" max="13830" width="8.88671875" style="971"/>
    <col min="13831" max="13831" width="98.21875" style="971" customWidth="1"/>
    <col min="13832" max="13832" width="21.109375" style="971" customWidth="1"/>
    <col min="13833" max="13833" width="8.6640625" style="971" bestFit="1" customWidth="1"/>
    <col min="13834" max="13834" width="11" style="971" bestFit="1" customWidth="1"/>
    <col min="13835" max="13836" width="11.109375" style="971" bestFit="1" customWidth="1"/>
    <col min="13837" max="14080" width="8.88671875" style="971"/>
    <col min="14081" max="14081" width="1.6640625" style="971" customWidth="1"/>
    <col min="14082" max="14082" width="20.77734375" style="971" customWidth="1"/>
    <col min="14083" max="14083" width="11.5546875" style="971" customWidth="1"/>
    <col min="14084" max="14084" width="9.88671875" style="971" customWidth="1"/>
    <col min="14085" max="14085" width="10.109375" style="971" bestFit="1" customWidth="1"/>
    <col min="14086" max="14086" width="8.88671875" style="971"/>
    <col min="14087" max="14087" width="98.21875" style="971" customWidth="1"/>
    <col min="14088" max="14088" width="21.109375" style="971" customWidth="1"/>
    <col min="14089" max="14089" width="8.6640625" style="971" bestFit="1" customWidth="1"/>
    <col min="14090" max="14090" width="11" style="971" bestFit="1" customWidth="1"/>
    <col min="14091" max="14092" width="11.109375" style="971" bestFit="1" customWidth="1"/>
    <col min="14093" max="14336" width="8.88671875" style="971"/>
    <col min="14337" max="14337" width="1.6640625" style="971" customWidth="1"/>
    <col min="14338" max="14338" width="20.77734375" style="971" customWidth="1"/>
    <col min="14339" max="14339" width="11.5546875" style="971" customWidth="1"/>
    <col min="14340" max="14340" width="9.88671875" style="971" customWidth="1"/>
    <col min="14341" max="14341" width="10.109375" style="971" bestFit="1" customWidth="1"/>
    <col min="14342" max="14342" width="8.88671875" style="971"/>
    <col min="14343" max="14343" width="98.21875" style="971" customWidth="1"/>
    <col min="14344" max="14344" width="21.109375" style="971" customWidth="1"/>
    <col min="14345" max="14345" width="8.6640625" style="971" bestFit="1" customWidth="1"/>
    <col min="14346" max="14346" width="11" style="971" bestFit="1" customWidth="1"/>
    <col min="14347" max="14348" width="11.109375" style="971" bestFit="1" customWidth="1"/>
    <col min="14349" max="14592" width="8.88671875" style="971"/>
    <col min="14593" max="14593" width="1.6640625" style="971" customWidth="1"/>
    <col min="14594" max="14594" width="20.77734375" style="971" customWidth="1"/>
    <col min="14595" max="14595" width="11.5546875" style="971" customWidth="1"/>
    <col min="14596" max="14596" width="9.88671875" style="971" customWidth="1"/>
    <col min="14597" max="14597" width="10.109375" style="971" bestFit="1" customWidth="1"/>
    <col min="14598" max="14598" width="8.88671875" style="971"/>
    <col min="14599" max="14599" width="98.21875" style="971" customWidth="1"/>
    <col min="14600" max="14600" width="21.109375" style="971" customWidth="1"/>
    <col min="14601" max="14601" width="8.6640625" style="971" bestFit="1" customWidth="1"/>
    <col min="14602" max="14602" width="11" style="971" bestFit="1" customWidth="1"/>
    <col min="14603" max="14604" width="11.109375" style="971" bestFit="1" customWidth="1"/>
    <col min="14605" max="14848" width="8.88671875" style="971"/>
    <col min="14849" max="14849" width="1.6640625" style="971" customWidth="1"/>
    <col min="14850" max="14850" width="20.77734375" style="971" customWidth="1"/>
    <col min="14851" max="14851" width="11.5546875" style="971" customWidth="1"/>
    <col min="14852" max="14852" width="9.88671875" style="971" customWidth="1"/>
    <col min="14853" max="14853" width="10.109375" style="971" bestFit="1" customWidth="1"/>
    <col min="14854" max="14854" width="8.88671875" style="971"/>
    <col min="14855" max="14855" width="98.21875" style="971" customWidth="1"/>
    <col min="14856" max="14856" width="21.109375" style="971" customWidth="1"/>
    <col min="14857" max="14857" width="8.6640625" style="971" bestFit="1" customWidth="1"/>
    <col min="14858" max="14858" width="11" style="971" bestFit="1" customWidth="1"/>
    <col min="14859" max="14860" width="11.109375" style="971" bestFit="1" customWidth="1"/>
    <col min="14861" max="15104" width="8.88671875" style="971"/>
    <col min="15105" max="15105" width="1.6640625" style="971" customWidth="1"/>
    <col min="15106" max="15106" width="20.77734375" style="971" customWidth="1"/>
    <col min="15107" max="15107" width="11.5546875" style="971" customWidth="1"/>
    <col min="15108" max="15108" width="9.88671875" style="971" customWidth="1"/>
    <col min="15109" max="15109" width="10.109375" style="971" bestFit="1" customWidth="1"/>
    <col min="15110" max="15110" width="8.88671875" style="971"/>
    <col min="15111" max="15111" width="98.21875" style="971" customWidth="1"/>
    <col min="15112" max="15112" width="21.109375" style="971" customWidth="1"/>
    <col min="15113" max="15113" width="8.6640625" style="971" bestFit="1" customWidth="1"/>
    <col min="15114" max="15114" width="11" style="971" bestFit="1" customWidth="1"/>
    <col min="15115" max="15116" width="11.109375" style="971" bestFit="1" customWidth="1"/>
    <col min="15117" max="15360" width="8.88671875" style="971"/>
    <col min="15361" max="15361" width="1.6640625" style="971" customWidth="1"/>
    <col min="15362" max="15362" width="20.77734375" style="971" customWidth="1"/>
    <col min="15363" max="15363" width="11.5546875" style="971" customWidth="1"/>
    <col min="15364" max="15364" width="9.88671875" style="971" customWidth="1"/>
    <col min="15365" max="15365" width="10.109375" style="971" bestFit="1" customWidth="1"/>
    <col min="15366" max="15366" width="8.88671875" style="971"/>
    <col min="15367" max="15367" width="98.21875" style="971" customWidth="1"/>
    <col min="15368" max="15368" width="21.109375" style="971" customWidth="1"/>
    <col min="15369" max="15369" width="8.6640625" style="971" bestFit="1" customWidth="1"/>
    <col min="15370" max="15370" width="11" style="971" bestFit="1" customWidth="1"/>
    <col min="15371" max="15372" width="11.109375" style="971" bestFit="1" customWidth="1"/>
    <col min="15373" max="15616" width="8.88671875" style="971"/>
    <col min="15617" max="15617" width="1.6640625" style="971" customWidth="1"/>
    <col min="15618" max="15618" width="20.77734375" style="971" customWidth="1"/>
    <col min="15619" max="15619" width="11.5546875" style="971" customWidth="1"/>
    <col min="15620" max="15620" width="9.88671875" style="971" customWidth="1"/>
    <col min="15621" max="15621" width="10.109375" style="971" bestFit="1" customWidth="1"/>
    <col min="15622" max="15622" width="8.88671875" style="971"/>
    <col min="15623" max="15623" width="98.21875" style="971" customWidth="1"/>
    <col min="15624" max="15624" width="21.109375" style="971" customWidth="1"/>
    <col min="15625" max="15625" width="8.6640625" style="971" bestFit="1" customWidth="1"/>
    <col min="15626" max="15626" width="11" style="971" bestFit="1" customWidth="1"/>
    <col min="15627" max="15628" width="11.109375" style="971" bestFit="1" customWidth="1"/>
    <col min="15629" max="15872" width="8.88671875" style="971"/>
    <col min="15873" max="15873" width="1.6640625" style="971" customWidth="1"/>
    <col min="15874" max="15874" width="20.77734375" style="971" customWidth="1"/>
    <col min="15875" max="15875" width="11.5546875" style="971" customWidth="1"/>
    <col min="15876" max="15876" width="9.88671875" style="971" customWidth="1"/>
    <col min="15877" max="15877" width="10.109375" style="971" bestFit="1" customWidth="1"/>
    <col min="15878" max="15878" width="8.88671875" style="971"/>
    <col min="15879" max="15879" width="98.21875" style="971" customWidth="1"/>
    <col min="15880" max="15880" width="21.109375" style="971" customWidth="1"/>
    <col min="15881" max="15881" width="8.6640625" style="971" bestFit="1" customWidth="1"/>
    <col min="15882" max="15882" width="11" style="971" bestFit="1" customWidth="1"/>
    <col min="15883" max="15884" width="11.109375" style="971" bestFit="1" customWidth="1"/>
    <col min="15885" max="16128" width="8.88671875" style="971"/>
    <col min="16129" max="16129" width="1.6640625" style="971" customWidth="1"/>
    <col min="16130" max="16130" width="20.77734375" style="971" customWidth="1"/>
    <col min="16131" max="16131" width="11.5546875" style="971" customWidth="1"/>
    <col min="16132" max="16132" width="9.88671875" style="971" customWidth="1"/>
    <col min="16133" max="16133" width="10.109375" style="971" bestFit="1" customWidth="1"/>
    <col min="16134" max="16134" width="8.88671875" style="971"/>
    <col min="16135" max="16135" width="98.21875" style="971" customWidth="1"/>
    <col min="16136" max="16136" width="21.109375" style="971" customWidth="1"/>
    <col min="16137" max="16137" width="8.6640625" style="971" bestFit="1" customWidth="1"/>
    <col min="16138" max="16138" width="11" style="971" bestFit="1" customWidth="1"/>
    <col min="16139" max="16140" width="11.109375" style="971" bestFit="1" customWidth="1"/>
    <col min="16141" max="16384" width="8.88671875" style="971"/>
  </cols>
  <sheetData>
    <row r="1" spans="1:12">
      <c r="A1" s="497"/>
      <c r="B1" s="812"/>
      <c r="C1" s="813"/>
      <c r="D1" s="813"/>
      <c r="E1" s="812"/>
      <c r="F1" s="813"/>
      <c r="G1" s="812"/>
      <c r="H1" s="497"/>
      <c r="I1" s="497"/>
      <c r="J1" s="812"/>
      <c r="K1" s="497"/>
      <c r="L1" s="497"/>
    </row>
    <row r="2" spans="1:12">
      <c r="A2" s="497"/>
      <c r="B2" s="933" t="s">
        <v>190</v>
      </c>
      <c r="C2" s="935" t="s">
        <v>636</v>
      </c>
      <c r="D2" s="935" t="s">
        <v>637</v>
      </c>
      <c r="E2" s="840" t="s">
        <v>191</v>
      </c>
      <c r="F2" s="841" t="s">
        <v>191</v>
      </c>
      <c r="G2" s="840" t="s">
        <v>192</v>
      </c>
      <c r="H2" s="905" t="s">
        <v>193</v>
      </c>
      <c r="I2" s="909" t="s">
        <v>194</v>
      </c>
      <c r="J2" s="905" t="s">
        <v>191</v>
      </c>
      <c r="K2" s="972" t="s">
        <v>417</v>
      </c>
      <c r="L2" s="972" t="s">
        <v>624</v>
      </c>
    </row>
    <row r="3" spans="1:12">
      <c r="A3" s="497"/>
      <c r="B3" s="934"/>
      <c r="C3" s="936"/>
      <c r="D3" s="936"/>
      <c r="E3" s="842" t="s">
        <v>195</v>
      </c>
      <c r="F3" s="842" t="s">
        <v>196</v>
      </c>
      <c r="G3" s="843" t="s">
        <v>197</v>
      </c>
      <c r="H3" s="906"/>
      <c r="I3" s="906"/>
      <c r="J3" s="906"/>
      <c r="K3" s="973"/>
      <c r="L3" s="973"/>
    </row>
    <row r="4" spans="1:12">
      <c r="A4" s="497"/>
      <c r="B4" s="511" t="s">
        <v>198</v>
      </c>
      <c r="C4" s="837">
        <v>50750</v>
      </c>
      <c r="D4" s="837">
        <v>50750</v>
      </c>
      <c r="E4" s="814">
        <f>+D4-C4</f>
        <v>0</v>
      </c>
      <c r="F4" s="815">
        <f>(D4-C4)/C4%</f>
        <v>0</v>
      </c>
      <c r="G4" s="510"/>
      <c r="H4" s="816"/>
      <c r="I4" s="516">
        <f>J4/K4%</f>
        <v>0</v>
      </c>
      <c r="J4" s="515">
        <f>L4-K4</f>
        <v>0</v>
      </c>
      <c r="K4" s="140">
        <v>50750</v>
      </c>
      <c r="L4" s="513">
        <v>50750</v>
      </c>
    </row>
    <row r="5" spans="1:12">
      <c r="A5" s="495"/>
      <c r="B5" s="937" t="s">
        <v>199</v>
      </c>
      <c r="C5" s="901">
        <v>22780</v>
      </c>
      <c r="D5" s="901">
        <v>20853</v>
      </c>
      <c r="E5" s="901">
        <f>D5-C5</f>
        <v>-1927</v>
      </c>
      <c r="F5" s="903">
        <f>(D5-C5)/C5*100</f>
        <v>-8.4600000000000009</v>
      </c>
      <c r="G5" s="514"/>
      <c r="H5" s="817"/>
      <c r="I5" s="974">
        <v>0.1653</v>
      </c>
      <c r="J5" s="975">
        <f>L5-K5</f>
        <v>-1927</v>
      </c>
      <c r="K5" s="975">
        <v>22780</v>
      </c>
      <c r="L5" s="976">
        <v>20853</v>
      </c>
    </row>
    <row r="6" spans="1:12">
      <c r="A6" s="495"/>
      <c r="B6" s="938"/>
      <c r="C6" s="902"/>
      <c r="D6" s="902"/>
      <c r="E6" s="902"/>
      <c r="F6" s="904"/>
      <c r="G6" s="512"/>
      <c r="H6" s="818"/>
      <c r="I6" s="977"/>
      <c r="J6" s="978"/>
      <c r="K6" s="978"/>
      <c r="L6" s="979"/>
    </row>
    <row r="7" spans="1:12" ht="51" customHeight="1">
      <c r="A7" s="819"/>
      <c r="B7" s="511" t="s">
        <v>200</v>
      </c>
      <c r="C7" s="980">
        <v>11042</v>
      </c>
      <c r="D7" s="980">
        <v>12868</v>
      </c>
      <c r="E7" s="814">
        <f>+D7-C7</f>
        <v>1826</v>
      </c>
      <c r="F7" s="815">
        <f>(D7-C7)/C7%</f>
        <v>16.54</v>
      </c>
      <c r="G7" s="510" t="s">
        <v>657</v>
      </c>
      <c r="H7" s="816"/>
      <c r="I7" s="981">
        <f>J7/K7</f>
        <v>0.17</v>
      </c>
      <c r="J7" s="982">
        <f>L7-K7</f>
        <v>1826</v>
      </c>
      <c r="K7" s="982">
        <v>11042</v>
      </c>
      <c r="L7" s="509">
        <v>12868</v>
      </c>
    </row>
    <row r="8" spans="1:12">
      <c r="A8" s="910"/>
      <c r="B8" s="912" t="s">
        <v>218</v>
      </c>
      <c r="C8" s="914"/>
      <c r="D8" s="914"/>
      <c r="E8" s="914"/>
      <c r="F8" s="914"/>
      <c r="G8" s="915"/>
      <c r="H8" s="820"/>
      <c r="I8" s="821"/>
      <c r="J8" s="821"/>
      <c r="K8" s="821"/>
      <c r="L8" s="508"/>
    </row>
    <row r="9" spans="1:12">
      <c r="A9" s="910"/>
      <c r="B9" s="913"/>
      <c r="C9" s="916"/>
      <c r="D9" s="916"/>
      <c r="E9" s="916"/>
      <c r="F9" s="916"/>
      <c r="G9" s="917"/>
      <c r="H9" s="507"/>
      <c r="I9" s="506"/>
      <c r="J9" s="505"/>
      <c r="K9" s="504"/>
      <c r="L9" s="503"/>
    </row>
    <row r="10" spans="1:12" ht="22.2" customHeight="1">
      <c r="A10" s="910"/>
      <c r="B10" s="502"/>
      <c r="C10" s="501"/>
      <c r="D10" s="501"/>
      <c r="E10" s="500"/>
      <c r="F10" s="141"/>
      <c r="G10" s="499"/>
      <c r="H10" s="804" t="s">
        <v>658</v>
      </c>
      <c r="I10" s="805" t="s">
        <v>194</v>
      </c>
      <c r="J10" s="806" t="s">
        <v>270</v>
      </c>
      <c r="K10" s="807" t="s">
        <v>417</v>
      </c>
      <c r="L10" s="807" t="s">
        <v>624</v>
      </c>
    </row>
    <row r="11" spans="1:12" ht="57.6">
      <c r="A11" s="911"/>
      <c r="B11" s="918" t="s">
        <v>201</v>
      </c>
      <c r="C11" s="921">
        <v>62598</v>
      </c>
      <c r="D11" s="924">
        <v>31353</v>
      </c>
      <c r="E11" s="927">
        <f>+D11-C11</f>
        <v>-31245</v>
      </c>
      <c r="F11" s="930">
        <f>(D11-C11)/C11%</f>
        <v>-49.91</v>
      </c>
      <c r="G11" s="498" t="s">
        <v>640</v>
      </c>
      <c r="H11" s="822" t="s">
        <v>21</v>
      </c>
      <c r="I11" s="676">
        <f t="shared" ref="I11:I26" si="0">J11/K11</f>
        <v>1.3240000000000001</v>
      </c>
      <c r="J11" s="677">
        <f t="shared" ref="J11:J26" si="1">L11-K11</f>
        <v>690</v>
      </c>
      <c r="K11" s="677">
        <v>521</v>
      </c>
      <c r="L11" s="823">
        <v>1211</v>
      </c>
    </row>
    <row r="12" spans="1:12">
      <c r="A12" s="911"/>
      <c r="B12" s="919"/>
      <c r="C12" s="922"/>
      <c r="D12" s="925"/>
      <c r="E12" s="928"/>
      <c r="F12" s="931"/>
      <c r="G12" s="808" t="s">
        <v>641</v>
      </c>
      <c r="H12" s="824" t="s">
        <v>440</v>
      </c>
      <c r="I12" s="809"/>
      <c r="J12" s="810"/>
      <c r="K12" s="810"/>
      <c r="L12" s="825">
        <v>154</v>
      </c>
    </row>
    <row r="13" spans="1:12">
      <c r="A13" s="911"/>
      <c r="B13" s="919"/>
      <c r="C13" s="922"/>
      <c r="D13" s="925"/>
      <c r="E13" s="928"/>
      <c r="F13" s="931"/>
      <c r="G13" s="498" t="s">
        <v>659</v>
      </c>
      <c r="H13" s="822" t="s">
        <v>302</v>
      </c>
      <c r="I13" s="798">
        <f t="shared" si="0"/>
        <v>-0.8478</v>
      </c>
      <c r="J13" s="799">
        <f t="shared" si="1"/>
        <v>-195</v>
      </c>
      <c r="K13" s="799">
        <v>230</v>
      </c>
      <c r="L13" s="823">
        <v>35</v>
      </c>
    </row>
    <row r="14" spans="1:12">
      <c r="A14" s="911"/>
      <c r="B14" s="919"/>
      <c r="C14" s="922"/>
      <c r="D14" s="925"/>
      <c r="E14" s="928"/>
      <c r="F14" s="931"/>
      <c r="G14" s="808" t="s">
        <v>642</v>
      </c>
      <c r="H14" s="824" t="s">
        <v>1</v>
      </c>
      <c r="I14" s="811">
        <f t="shared" si="0"/>
        <v>8.2000000000000003E-2</v>
      </c>
      <c r="J14" s="810">
        <f t="shared" si="1"/>
        <v>60</v>
      </c>
      <c r="K14" s="810">
        <v>732</v>
      </c>
      <c r="L14" s="825">
        <v>792</v>
      </c>
    </row>
    <row r="15" spans="1:12">
      <c r="A15" s="911"/>
      <c r="B15" s="919"/>
      <c r="C15" s="922"/>
      <c r="D15" s="925"/>
      <c r="E15" s="928"/>
      <c r="F15" s="931"/>
      <c r="G15" s="498" t="s">
        <v>643</v>
      </c>
      <c r="H15" s="822" t="s">
        <v>2</v>
      </c>
      <c r="I15" s="798">
        <f t="shared" si="0"/>
        <v>-2.3900000000000001E-2</v>
      </c>
      <c r="J15" s="799">
        <f t="shared" si="1"/>
        <v>-14</v>
      </c>
      <c r="K15" s="799">
        <v>585</v>
      </c>
      <c r="L15" s="823">
        <v>571</v>
      </c>
    </row>
    <row r="16" spans="1:12" ht="43.2">
      <c r="A16" s="911"/>
      <c r="B16" s="919"/>
      <c r="C16" s="922"/>
      <c r="D16" s="925"/>
      <c r="E16" s="928"/>
      <c r="F16" s="931"/>
      <c r="G16" s="808" t="s">
        <v>644</v>
      </c>
      <c r="H16" s="824" t="s">
        <v>638</v>
      </c>
      <c r="I16" s="811">
        <f t="shared" si="0"/>
        <v>0.62560000000000004</v>
      </c>
      <c r="J16" s="810">
        <f t="shared" si="1"/>
        <v>249</v>
      </c>
      <c r="K16" s="810">
        <v>398</v>
      </c>
      <c r="L16" s="825">
        <v>647</v>
      </c>
    </row>
    <row r="17" spans="1:12">
      <c r="A17" s="911"/>
      <c r="B17" s="919"/>
      <c r="C17" s="922"/>
      <c r="D17" s="925"/>
      <c r="E17" s="928"/>
      <c r="F17" s="931"/>
      <c r="G17" s="498" t="s">
        <v>645</v>
      </c>
      <c r="H17" s="822" t="s">
        <v>343</v>
      </c>
      <c r="I17" s="798">
        <f t="shared" si="0"/>
        <v>0.36899999999999999</v>
      </c>
      <c r="J17" s="799">
        <f t="shared" si="1"/>
        <v>69</v>
      </c>
      <c r="K17" s="799">
        <v>187</v>
      </c>
      <c r="L17" s="823">
        <v>256</v>
      </c>
    </row>
    <row r="18" spans="1:12" ht="43.2">
      <c r="A18" s="911"/>
      <c r="B18" s="919"/>
      <c r="C18" s="922"/>
      <c r="D18" s="925"/>
      <c r="E18" s="928"/>
      <c r="F18" s="931"/>
      <c r="G18" s="808" t="s">
        <v>660</v>
      </c>
      <c r="H18" s="839" t="s">
        <v>639</v>
      </c>
      <c r="I18" s="811">
        <f t="shared" si="0"/>
        <v>4.6635999999999997</v>
      </c>
      <c r="J18" s="810">
        <f t="shared" si="1"/>
        <v>499</v>
      </c>
      <c r="K18" s="810">
        <v>107</v>
      </c>
      <c r="L18" s="825">
        <v>606</v>
      </c>
    </row>
    <row r="19" spans="1:12">
      <c r="A19" s="911"/>
      <c r="B19" s="919"/>
      <c r="C19" s="922"/>
      <c r="D19" s="925"/>
      <c r="E19" s="928"/>
      <c r="F19" s="931"/>
      <c r="G19" s="498" t="s">
        <v>646</v>
      </c>
      <c r="H19" s="822" t="s">
        <v>383</v>
      </c>
      <c r="I19" s="798">
        <f t="shared" si="0"/>
        <v>-1</v>
      </c>
      <c r="J19" s="799">
        <f t="shared" si="1"/>
        <v>-162</v>
      </c>
      <c r="K19" s="799">
        <v>162</v>
      </c>
      <c r="L19" s="823">
        <v>0</v>
      </c>
    </row>
    <row r="20" spans="1:12">
      <c r="A20" s="911"/>
      <c r="B20" s="919"/>
      <c r="C20" s="922"/>
      <c r="D20" s="925"/>
      <c r="E20" s="928"/>
      <c r="F20" s="931"/>
      <c r="G20" s="808" t="s">
        <v>647</v>
      </c>
      <c r="H20" s="824" t="s">
        <v>0</v>
      </c>
      <c r="I20" s="811">
        <f t="shared" si="0"/>
        <v>0.36</v>
      </c>
      <c r="J20" s="810">
        <f t="shared" si="1"/>
        <v>306</v>
      </c>
      <c r="K20" s="810">
        <v>850</v>
      </c>
      <c r="L20" s="825">
        <v>1156</v>
      </c>
    </row>
    <row r="21" spans="1:12" ht="43.2">
      <c r="A21" s="495"/>
      <c r="B21" s="919"/>
      <c r="C21" s="922"/>
      <c r="D21" s="925"/>
      <c r="E21" s="928"/>
      <c r="F21" s="931"/>
      <c r="G21" s="800" t="s">
        <v>648</v>
      </c>
      <c r="H21" s="826" t="s">
        <v>339</v>
      </c>
      <c r="I21" s="798">
        <f t="shared" si="0"/>
        <v>-0.84199999999999997</v>
      </c>
      <c r="J21" s="799">
        <f t="shared" si="1"/>
        <v>-6354</v>
      </c>
      <c r="K21" s="799">
        <v>7546</v>
      </c>
      <c r="L21" s="823">
        <v>1192</v>
      </c>
    </row>
    <row r="22" spans="1:12" ht="43.2">
      <c r="A22" s="495"/>
      <c r="B22" s="919"/>
      <c r="C22" s="922"/>
      <c r="D22" s="925"/>
      <c r="E22" s="928"/>
      <c r="F22" s="931"/>
      <c r="G22" s="808" t="s">
        <v>661</v>
      </c>
      <c r="H22" s="824" t="s">
        <v>225</v>
      </c>
      <c r="I22" s="811">
        <f t="shared" si="0"/>
        <v>-0.96709999999999996</v>
      </c>
      <c r="J22" s="810">
        <f t="shared" si="1"/>
        <v>-7133</v>
      </c>
      <c r="K22" s="810">
        <v>7376</v>
      </c>
      <c r="L22" s="825">
        <v>243</v>
      </c>
    </row>
    <row r="23" spans="1:12">
      <c r="A23" s="495"/>
      <c r="B23" s="919"/>
      <c r="C23" s="922"/>
      <c r="D23" s="925"/>
      <c r="E23" s="928"/>
      <c r="F23" s="931"/>
      <c r="G23" s="498" t="s">
        <v>662</v>
      </c>
      <c r="H23" s="822" t="s">
        <v>221</v>
      </c>
      <c r="I23" s="798">
        <f t="shared" si="0"/>
        <v>1.9025000000000001</v>
      </c>
      <c r="J23" s="799">
        <f t="shared" si="1"/>
        <v>2264</v>
      </c>
      <c r="K23" s="799">
        <v>1190</v>
      </c>
      <c r="L23" s="983">
        <v>3454</v>
      </c>
    </row>
    <row r="24" spans="1:12">
      <c r="A24" s="495"/>
      <c r="B24" s="919"/>
      <c r="C24" s="922"/>
      <c r="D24" s="925"/>
      <c r="E24" s="928"/>
      <c r="F24" s="931"/>
      <c r="G24" s="808"/>
      <c r="H24" s="824" t="s">
        <v>22</v>
      </c>
      <c r="I24" s="811">
        <f t="shared" si="0"/>
        <v>0</v>
      </c>
      <c r="J24" s="810">
        <f t="shared" si="1"/>
        <v>0</v>
      </c>
      <c r="K24" s="810">
        <v>2200</v>
      </c>
      <c r="L24" s="984">
        <v>2200</v>
      </c>
    </row>
    <row r="25" spans="1:12">
      <c r="A25" s="495"/>
      <c r="B25" s="919"/>
      <c r="C25" s="922"/>
      <c r="D25" s="925"/>
      <c r="E25" s="928"/>
      <c r="F25" s="931"/>
      <c r="G25" s="498" t="s">
        <v>649</v>
      </c>
      <c r="H25" s="822" t="s">
        <v>294</v>
      </c>
      <c r="I25" s="798">
        <f t="shared" si="0"/>
        <v>2.9</v>
      </c>
      <c r="J25" s="799">
        <f t="shared" si="1"/>
        <v>1218</v>
      </c>
      <c r="K25" s="799">
        <v>420</v>
      </c>
      <c r="L25" s="983">
        <v>1638</v>
      </c>
    </row>
    <row r="26" spans="1:12" ht="28.8">
      <c r="A26" s="495"/>
      <c r="B26" s="919"/>
      <c r="C26" s="922"/>
      <c r="D26" s="925"/>
      <c r="E26" s="928"/>
      <c r="F26" s="931"/>
      <c r="G26" s="808" t="s">
        <v>663</v>
      </c>
      <c r="H26" s="824" t="s">
        <v>352</v>
      </c>
      <c r="I26" s="811">
        <f t="shared" si="0"/>
        <v>1.7054</v>
      </c>
      <c r="J26" s="810">
        <f t="shared" si="1"/>
        <v>191</v>
      </c>
      <c r="K26" s="810">
        <v>112</v>
      </c>
      <c r="L26" s="984">
        <v>303</v>
      </c>
    </row>
    <row r="27" spans="1:12">
      <c r="A27" s="495"/>
      <c r="B27" s="919"/>
      <c r="C27" s="922"/>
      <c r="D27" s="925"/>
      <c r="E27" s="928"/>
      <c r="F27" s="931"/>
      <c r="G27" s="498"/>
      <c r="H27" s="822" t="s">
        <v>272</v>
      </c>
      <c r="I27" s="798"/>
      <c r="J27" s="799">
        <f>L27-K27</f>
        <v>0</v>
      </c>
      <c r="K27" s="799">
        <v>500</v>
      </c>
      <c r="L27" s="983">
        <v>500</v>
      </c>
    </row>
    <row r="28" spans="1:12" ht="28.8">
      <c r="A28" s="495"/>
      <c r="B28" s="919"/>
      <c r="C28" s="922"/>
      <c r="D28" s="925"/>
      <c r="E28" s="928"/>
      <c r="F28" s="931"/>
      <c r="G28" s="808" t="s">
        <v>650</v>
      </c>
      <c r="H28" s="824" t="s">
        <v>332</v>
      </c>
      <c r="I28" s="811">
        <f>J28/K28</f>
        <v>1.4427000000000001</v>
      </c>
      <c r="J28" s="810">
        <f t="shared" ref="J28:J35" si="2">L28-K28</f>
        <v>6792</v>
      </c>
      <c r="K28" s="810">
        <v>4708</v>
      </c>
      <c r="L28" s="984">
        <v>11500</v>
      </c>
    </row>
    <row r="29" spans="1:12" ht="28.8">
      <c r="A29" s="495"/>
      <c r="B29" s="919"/>
      <c r="C29" s="922"/>
      <c r="D29" s="925"/>
      <c r="E29" s="928"/>
      <c r="F29" s="931"/>
      <c r="G29" s="498" t="s">
        <v>664</v>
      </c>
      <c r="H29" s="822" t="s">
        <v>416</v>
      </c>
      <c r="I29" s="798">
        <f>J29/K29</f>
        <v>-1</v>
      </c>
      <c r="J29" s="799">
        <f t="shared" si="2"/>
        <v>-10000</v>
      </c>
      <c r="K29" s="799">
        <v>10000</v>
      </c>
      <c r="L29" s="985">
        <v>0</v>
      </c>
    </row>
    <row r="30" spans="1:12" ht="57.6">
      <c r="A30" s="495"/>
      <c r="B30" s="919"/>
      <c r="C30" s="922"/>
      <c r="D30" s="925"/>
      <c r="E30" s="928"/>
      <c r="F30" s="931"/>
      <c r="G30" s="808" t="s">
        <v>665</v>
      </c>
      <c r="H30" s="824" t="s">
        <v>360</v>
      </c>
      <c r="I30" s="811">
        <f>J30/K30</f>
        <v>-0.75119999999999998</v>
      </c>
      <c r="J30" s="810">
        <f t="shared" si="2"/>
        <v>-3197</v>
      </c>
      <c r="K30" s="810">
        <v>4256</v>
      </c>
      <c r="L30" s="984">
        <v>1059</v>
      </c>
    </row>
    <row r="31" spans="1:12" ht="28.8">
      <c r="A31" s="495"/>
      <c r="B31" s="919"/>
      <c r="C31" s="922"/>
      <c r="D31" s="925"/>
      <c r="E31" s="928"/>
      <c r="F31" s="931"/>
      <c r="G31" s="803" t="s">
        <v>651</v>
      </c>
      <c r="H31" s="986" t="s">
        <v>525</v>
      </c>
      <c r="I31" s="798"/>
      <c r="J31" s="799">
        <f t="shared" si="2"/>
        <v>22</v>
      </c>
      <c r="K31" s="799"/>
      <c r="L31" s="983">
        <v>22</v>
      </c>
    </row>
    <row r="32" spans="1:12" ht="28.8">
      <c r="A32" s="495"/>
      <c r="B32" s="919"/>
      <c r="C32" s="922"/>
      <c r="D32" s="925"/>
      <c r="E32" s="928"/>
      <c r="F32" s="931"/>
      <c r="G32" s="808" t="s">
        <v>421</v>
      </c>
      <c r="H32" s="839" t="s">
        <v>418</v>
      </c>
      <c r="I32" s="811">
        <f>J32/K32</f>
        <v>-1</v>
      </c>
      <c r="J32" s="810">
        <f t="shared" si="2"/>
        <v>-3300</v>
      </c>
      <c r="K32" s="810">
        <v>3300</v>
      </c>
      <c r="L32" s="984">
        <v>0</v>
      </c>
    </row>
    <row r="33" spans="1:12" ht="28.8">
      <c r="A33" s="495"/>
      <c r="B33" s="919"/>
      <c r="C33" s="922"/>
      <c r="D33" s="925"/>
      <c r="E33" s="928"/>
      <c r="F33" s="931"/>
      <c r="G33" s="498" t="s">
        <v>426</v>
      </c>
      <c r="H33" s="986" t="s">
        <v>419</v>
      </c>
      <c r="I33" s="497"/>
      <c r="J33" s="799">
        <f t="shared" si="2"/>
        <v>-3722</v>
      </c>
      <c r="K33" s="799">
        <v>3722</v>
      </c>
      <c r="L33" s="985">
        <v>0</v>
      </c>
    </row>
    <row r="34" spans="1:12" ht="28.8">
      <c r="A34" s="495"/>
      <c r="B34" s="919"/>
      <c r="C34" s="922"/>
      <c r="D34" s="925"/>
      <c r="E34" s="928"/>
      <c r="F34" s="931"/>
      <c r="G34" s="808" t="s">
        <v>652</v>
      </c>
      <c r="H34" s="824" t="s">
        <v>415</v>
      </c>
      <c r="I34" s="811">
        <f>J34/K34</f>
        <v>-0.31669999999999998</v>
      </c>
      <c r="J34" s="810">
        <f t="shared" si="2"/>
        <v>-570</v>
      </c>
      <c r="K34" s="810">
        <v>1800</v>
      </c>
      <c r="L34" s="984">
        <v>1230</v>
      </c>
    </row>
    <row r="35" spans="1:12">
      <c r="A35" s="495"/>
      <c r="B35" s="919"/>
      <c r="C35" s="922"/>
      <c r="D35" s="925"/>
      <c r="E35" s="928"/>
      <c r="F35" s="931"/>
      <c r="G35" s="498" t="s">
        <v>653</v>
      </c>
      <c r="H35" s="822" t="s">
        <v>420</v>
      </c>
      <c r="I35" s="798">
        <f>J35/K35</f>
        <v>-1</v>
      </c>
      <c r="J35" s="799">
        <f t="shared" si="2"/>
        <v>-650</v>
      </c>
      <c r="K35" s="799">
        <v>650</v>
      </c>
      <c r="L35" s="985">
        <v>0</v>
      </c>
    </row>
    <row r="36" spans="1:12" ht="43.2">
      <c r="A36" s="495"/>
      <c r="B36" s="919"/>
      <c r="C36" s="922"/>
      <c r="D36" s="925"/>
      <c r="E36" s="928"/>
      <c r="F36" s="931"/>
      <c r="G36" s="808" t="s">
        <v>654</v>
      </c>
      <c r="H36" s="839" t="s">
        <v>414</v>
      </c>
      <c r="I36" s="811"/>
      <c r="J36" s="810"/>
      <c r="K36" s="810">
        <v>2088</v>
      </c>
      <c r="L36" s="984">
        <v>0</v>
      </c>
    </row>
    <row r="37" spans="1:12" ht="28.8">
      <c r="A37" s="495"/>
      <c r="B37" s="919"/>
      <c r="C37" s="922"/>
      <c r="D37" s="925"/>
      <c r="E37" s="928"/>
      <c r="F37" s="931"/>
      <c r="G37" s="498" t="s">
        <v>666</v>
      </c>
      <c r="H37" s="822" t="s">
        <v>413</v>
      </c>
      <c r="I37" s="801"/>
      <c r="J37" s="802"/>
      <c r="K37" s="802">
        <v>4000</v>
      </c>
      <c r="L37" s="985">
        <v>0</v>
      </c>
    </row>
    <row r="38" spans="1:12">
      <c r="A38" s="495"/>
      <c r="B38" s="920"/>
      <c r="C38" s="923"/>
      <c r="D38" s="926"/>
      <c r="E38" s="929"/>
      <c r="F38" s="932"/>
      <c r="G38" s="808" t="s">
        <v>667</v>
      </c>
      <c r="H38" s="824" t="s">
        <v>5</v>
      </c>
      <c r="I38" s="811">
        <f>J38/K38</f>
        <v>-0.48049999999999998</v>
      </c>
      <c r="J38" s="810">
        <f>L38-K38</f>
        <v>-2373</v>
      </c>
      <c r="K38" s="810">
        <v>4939</v>
      </c>
      <c r="L38" s="984">
        <v>2566</v>
      </c>
    </row>
    <row r="39" spans="1:12" ht="49.2" customHeight="1">
      <c r="A39" s="495"/>
      <c r="B39" s="820" t="s">
        <v>202</v>
      </c>
      <c r="C39" s="827">
        <v>113113</v>
      </c>
      <c r="D39" s="827">
        <v>140495</v>
      </c>
      <c r="E39" s="828">
        <f>+D39-C39</f>
        <v>27382</v>
      </c>
      <c r="F39" s="829">
        <f>(D39-C39)/D39%</f>
        <v>19.489999999999998</v>
      </c>
      <c r="G39" s="907" t="s">
        <v>668</v>
      </c>
      <c r="H39" s="907"/>
      <c r="I39" s="907"/>
      <c r="J39" s="496"/>
      <c r="K39" s="987">
        <v>62579</v>
      </c>
      <c r="L39" s="987">
        <v>31335</v>
      </c>
    </row>
    <row r="40" spans="1:12" ht="45" customHeight="1">
      <c r="A40" s="495"/>
      <c r="B40" s="830" t="s">
        <v>203</v>
      </c>
      <c r="C40" s="831">
        <v>113113</v>
      </c>
      <c r="D40" s="831">
        <v>140495</v>
      </c>
      <c r="E40" s="814">
        <f>+D40-C40</f>
        <v>27382</v>
      </c>
      <c r="F40" s="815">
        <f>(D40-C40)/D40%</f>
        <v>19.489999999999998</v>
      </c>
      <c r="G40" s="908"/>
      <c r="H40" s="908"/>
      <c r="I40" s="908"/>
      <c r="J40" s="832"/>
      <c r="K40" s="833"/>
      <c r="L40" s="834"/>
    </row>
    <row r="41" spans="1:12" ht="28.8">
      <c r="A41" s="497"/>
      <c r="B41" s="835" t="s">
        <v>206</v>
      </c>
      <c r="C41" s="814">
        <v>222288</v>
      </c>
      <c r="D41" s="814">
        <v>222483</v>
      </c>
      <c r="E41" s="814">
        <f>+D41-C41</f>
        <v>195</v>
      </c>
      <c r="F41" s="815">
        <f>(D41-C41)/D41%</f>
        <v>0.09</v>
      </c>
      <c r="G41" s="494"/>
      <c r="H41" s="177"/>
      <c r="I41" s="178"/>
      <c r="J41" s="836"/>
      <c r="K41" s="837"/>
      <c r="L41" s="838"/>
    </row>
  </sheetData>
  <sheetProtection algorithmName="SHA-512" hashValue="LsDek+FViIcXQIiLVxIFZUkODoL2P6aivXkI1KiG1cJRCeR8bnTz+IixRRFCHPTuB13c2EJtObPcnCSoKym+uw==" saltValue="keKnimv2DiQFgQluVNwU6g==" spinCount="100000" sheet="1"/>
  <mergeCells count="26">
    <mergeCell ref="G39:I40"/>
    <mergeCell ref="L5:L6"/>
    <mergeCell ref="A8:A20"/>
    <mergeCell ref="B8:B9"/>
    <mergeCell ref="C8:G9"/>
    <mergeCell ref="B11:B38"/>
    <mergeCell ref="C11:C38"/>
    <mergeCell ref="D11:D38"/>
    <mergeCell ref="E11:E38"/>
    <mergeCell ref="F11:F38"/>
    <mergeCell ref="K2:K3"/>
    <mergeCell ref="L2:L3"/>
    <mergeCell ref="B5:B6"/>
    <mergeCell ref="C5:C6"/>
    <mergeCell ref="D5:D6"/>
    <mergeCell ref="E5:E6"/>
    <mergeCell ref="F5:F6"/>
    <mergeCell ref="I5:I6"/>
    <mergeCell ref="J5:J6"/>
    <mergeCell ref="K5:K6"/>
    <mergeCell ref="B2:B3"/>
    <mergeCell ref="C2:C3"/>
    <mergeCell ref="D2:D3"/>
    <mergeCell ref="H2:H3"/>
    <mergeCell ref="I2:I3"/>
    <mergeCell ref="J2:J3"/>
  </mergeCells>
  <pageMargins left="0.7" right="0.7" top="0.75" bottom="0.75" header="0.3" footer="0.3"/>
  <pageSetup paperSize="9" orientation="portrait" horizontalDpi="4294967292"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27"/>
    <pageSetUpPr fitToPage="1"/>
  </sheetPr>
  <dimension ref="A1:X1228"/>
  <sheetViews>
    <sheetView showGridLines="0" showZeros="0" zoomScale="85" zoomScaleNormal="85" workbookViewId="0">
      <pane ySplit="3" topLeftCell="A4" activePane="bottomLeft" state="frozen"/>
      <selection activeCell="G37" sqref="G37"/>
      <selection pane="bottomLeft"/>
    </sheetView>
  </sheetViews>
  <sheetFormatPr defaultColWidth="9.109375" defaultRowHeight="14.4"/>
  <cols>
    <col min="1" max="1" width="1.6640625" style="98" customWidth="1"/>
    <col min="2" max="2" width="1.6640625" style="22" customWidth="1"/>
    <col min="3" max="3" width="11" style="22" hidden="1" customWidth="1"/>
    <col min="4" max="4" width="30" style="597" customWidth="1"/>
    <col min="5" max="5" width="11.6640625" style="39" customWidth="1"/>
    <col min="6" max="6" width="16.88671875" style="181" customWidth="1"/>
    <col min="7" max="7" width="15" style="22" customWidth="1"/>
    <col min="8" max="8" width="12.44140625" style="22" customWidth="1"/>
    <col min="9" max="9" width="12.88671875" style="22" customWidth="1"/>
    <col min="10" max="10" width="12.5546875" style="22" hidden="1" customWidth="1"/>
    <col min="11" max="11" width="14" style="22" hidden="1" customWidth="1"/>
    <col min="12" max="12" width="12" style="22" hidden="1" customWidth="1"/>
    <col min="13" max="13" width="27.6640625" style="22" hidden="1" customWidth="1"/>
    <col min="14" max="14" width="12.109375" style="111" hidden="1" customWidth="1"/>
    <col min="15" max="15" width="13" style="27" hidden="1" customWidth="1"/>
    <col min="16" max="16" width="1.6640625" style="22" customWidth="1"/>
    <col min="17" max="17" width="1.109375" style="22" customWidth="1"/>
    <col min="18" max="18" width="6.6640625" style="711" customWidth="1"/>
    <col min="19" max="19" width="11.88671875" style="22" customWidth="1"/>
    <col min="20" max="20" width="11.5546875" style="22" bestFit="1" customWidth="1"/>
    <col min="21" max="21" width="18.33203125" style="22" customWidth="1"/>
    <col min="22" max="22" width="12.44140625" style="22" customWidth="1"/>
    <col min="23" max="23" width="10.5546875" style="22" bestFit="1" customWidth="1"/>
    <col min="24" max="24" width="9.88671875" style="22" bestFit="1" customWidth="1"/>
    <col min="25" max="16384" width="9.109375" style="22"/>
  </cols>
  <sheetData>
    <row r="1" spans="1:24" ht="9" customHeight="1" thickBot="1">
      <c r="C1" s="98"/>
      <c r="D1" s="584"/>
      <c r="E1" s="49"/>
      <c r="G1" s="41"/>
      <c r="H1" s="41"/>
      <c r="I1" s="41"/>
      <c r="J1" s="41"/>
      <c r="K1" s="41"/>
      <c r="L1" s="41"/>
      <c r="M1" s="41"/>
      <c r="N1" s="110"/>
      <c r="O1" s="49"/>
    </row>
    <row r="2" spans="1:24" s="37" customFormat="1" ht="11.25" customHeight="1">
      <c r="A2" s="41"/>
      <c r="C2" s="106"/>
      <c r="D2" s="585"/>
      <c r="E2" s="408"/>
      <c r="F2" s="409"/>
      <c r="G2" s="409"/>
      <c r="H2" s="407"/>
      <c r="I2" s="410"/>
      <c r="J2" s="407"/>
      <c r="K2" s="407"/>
      <c r="L2" s="407"/>
      <c r="M2" s="776"/>
      <c r="N2" s="777"/>
      <c r="O2" s="778"/>
      <c r="R2" s="712"/>
    </row>
    <row r="3" spans="1:24" s="37" customFormat="1" ht="59.25" customHeight="1">
      <c r="A3" s="41"/>
      <c r="B3" s="41"/>
      <c r="C3" s="411" t="s">
        <v>433</v>
      </c>
      <c r="D3" s="586"/>
      <c r="E3" s="182" t="s">
        <v>379</v>
      </c>
      <c r="F3" s="518" t="s">
        <v>427</v>
      </c>
      <c r="G3" s="45" t="s">
        <v>268</v>
      </c>
      <c r="H3" s="46" t="s">
        <v>267</v>
      </c>
      <c r="I3" s="107" t="s">
        <v>518</v>
      </c>
      <c r="J3" s="96" t="s">
        <v>40</v>
      </c>
      <c r="K3" s="47" t="s">
        <v>63</v>
      </c>
      <c r="L3" s="47" t="s">
        <v>72</v>
      </c>
      <c r="M3" s="851" t="s">
        <v>428</v>
      </c>
      <c r="N3" s="852"/>
      <c r="O3" s="787" t="s">
        <v>429</v>
      </c>
      <c r="R3" s="716" t="s">
        <v>439</v>
      </c>
      <c r="S3" s="853" t="s">
        <v>656</v>
      </c>
      <c r="T3" s="853"/>
      <c r="U3" s="853"/>
    </row>
    <row r="4" spans="1:24" s="37" customFormat="1" ht="18.75" customHeight="1">
      <c r="A4" s="41"/>
      <c r="B4" s="41"/>
      <c r="C4" s="530"/>
      <c r="D4" s="598" t="s">
        <v>37</v>
      </c>
      <c r="E4" s="183"/>
      <c r="F4" s="517"/>
      <c r="G4" s="53" t="s">
        <v>57</v>
      </c>
      <c r="H4" s="52"/>
      <c r="I4" s="708"/>
      <c r="J4" s="137">
        <f>SUM(J5:J14)</f>
        <v>132100</v>
      </c>
      <c r="K4" s="23" t="s">
        <v>59</v>
      </c>
      <c r="L4" s="23"/>
      <c r="M4" s="739"/>
      <c r="N4" s="417"/>
      <c r="O4" s="740"/>
      <c r="R4" s="712"/>
    </row>
    <row r="5" spans="1:24" s="37" customFormat="1" ht="18" customHeight="1">
      <c r="A5" s="41"/>
      <c r="B5" s="41"/>
      <c r="C5" s="681">
        <v>50750</v>
      </c>
      <c r="D5" s="587" t="s">
        <v>8</v>
      </c>
      <c r="E5" s="184">
        <v>50750</v>
      </c>
      <c r="F5" s="197">
        <f>E5</f>
        <v>50750</v>
      </c>
      <c r="G5" s="64">
        <f>Receipts!E70</f>
        <v>50750</v>
      </c>
      <c r="H5" s="64">
        <f>G5-F5</f>
        <v>0</v>
      </c>
      <c r="I5" s="709">
        <f>G5/E5*100</f>
        <v>100</v>
      </c>
      <c r="J5" s="97">
        <f>F5</f>
        <v>50750</v>
      </c>
      <c r="K5" s="64">
        <f t="shared" ref="K5:K15" si="0">F5-C5</f>
        <v>0</v>
      </c>
      <c r="L5" s="734">
        <f>K5/C5</f>
        <v>0</v>
      </c>
      <c r="M5" s="741" t="s">
        <v>8</v>
      </c>
      <c r="N5" s="418">
        <v>50750</v>
      </c>
      <c r="O5" s="742">
        <f>(N5-E5)/E5%</f>
        <v>0</v>
      </c>
      <c r="R5" s="712"/>
    </row>
    <row r="6" spans="1:24" s="37" customFormat="1" ht="20.100000000000001" customHeight="1">
      <c r="A6" s="41"/>
      <c r="B6" s="41"/>
      <c r="C6" s="681">
        <v>1738.72</v>
      </c>
      <c r="D6" s="588" t="s">
        <v>9</v>
      </c>
      <c r="E6" s="184">
        <v>2240</v>
      </c>
      <c r="F6" s="197">
        <f t="shared" ref="F6:F13" si="1">E6</f>
        <v>2240</v>
      </c>
      <c r="G6" s="64">
        <f>Receipts!F70</f>
        <v>4599.3599999999997</v>
      </c>
      <c r="H6" s="64">
        <f t="shared" ref="H6:H15" si="2">G6-F6</f>
        <v>2359.36</v>
      </c>
      <c r="I6" s="709">
        <f>G6/E6*100</f>
        <v>205.33</v>
      </c>
      <c r="J6" s="97">
        <f>4610</f>
        <v>4610</v>
      </c>
      <c r="K6" s="64">
        <f t="shared" si="0"/>
        <v>501.28</v>
      </c>
      <c r="L6" s="734">
        <f>K6/C6</f>
        <v>0.2883</v>
      </c>
      <c r="M6" s="741" t="s">
        <v>9</v>
      </c>
      <c r="N6" s="418">
        <v>5000</v>
      </c>
      <c r="O6" s="743">
        <f>(N6-E6)/E6%</f>
        <v>123.21</v>
      </c>
      <c r="R6" s="730" t="s">
        <v>573</v>
      </c>
      <c r="S6" s="37" t="s">
        <v>597</v>
      </c>
      <c r="T6" s="637"/>
      <c r="U6" s="637"/>
      <c r="V6" s="37">
        <f>H6+Receipts!F58+Receipts!F59+Receipts!F59+Receipts!F59+Receipts!F59</f>
        <v>3916.91</v>
      </c>
      <c r="W6" s="638"/>
    </row>
    <row r="7" spans="1:24" s="37" customFormat="1" ht="20.100000000000001" customHeight="1">
      <c r="A7" s="41"/>
      <c r="B7" s="41"/>
      <c r="C7" s="681">
        <v>272</v>
      </c>
      <c r="D7" s="587" t="s">
        <v>24</v>
      </c>
      <c r="E7" s="184">
        <v>300</v>
      </c>
      <c r="F7" s="197">
        <f t="shared" si="1"/>
        <v>300</v>
      </c>
      <c r="G7" s="64">
        <f>Receipts!G70</f>
        <v>516</v>
      </c>
      <c r="H7" s="64">
        <f t="shared" si="2"/>
        <v>216</v>
      </c>
      <c r="I7" s="709">
        <f>G7/E7*100</f>
        <v>172</v>
      </c>
      <c r="J7" s="97">
        <f>G7+140</f>
        <v>656</v>
      </c>
      <c r="K7" s="64">
        <f t="shared" si="0"/>
        <v>28</v>
      </c>
      <c r="L7" s="734">
        <f>K7/C7</f>
        <v>0.10290000000000001</v>
      </c>
      <c r="M7" s="741" t="s">
        <v>24</v>
      </c>
      <c r="N7" s="418">
        <v>412</v>
      </c>
      <c r="O7" s="744">
        <f>(N7-E7)/E7%</f>
        <v>37.33</v>
      </c>
      <c r="R7" s="712"/>
      <c r="S7" s="136"/>
      <c r="T7" s="136"/>
      <c r="U7" s="136"/>
    </row>
    <row r="8" spans="1:24" s="37" customFormat="1" ht="20.100000000000001" hidden="1" customHeight="1">
      <c r="A8" s="41"/>
      <c r="B8" s="41"/>
      <c r="C8" s="681"/>
      <c r="D8" s="587" t="s">
        <v>25</v>
      </c>
      <c r="E8" s="184"/>
      <c r="F8" s="197">
        <f t="shared" si="1"/>
        <v>0</v>
      </c>
      <c r="G8" s="64"/>
      <c r="H8" s="64">
        <f t="shared" si="2"/>
        <v>0</v>
      </c>
      <c r="I8" s="709"/>
      <c r="J8" s="97"/>
      <c r="K8" s="64">
        <f t="shared" si="0"/>
        <v>0</v>
      </c>
      <c r="L8" s="734"/>
      <c r="M8" s="741" t="s">
        <v>25</v>
      </c>
      <c r="N8" s="418"/>
      <c r="O8" s="744"/>
      <c r="R8" s="712"/>
      <c r="S8" s="136"/>
      <c r="T8" s="136"/>
      <c r="U8" s="136"/>
    </row>
    <row r="9" spans="1:24" s="37" customFormat="1" ht="20.100000000000001" customHeight="1">
      <c r="A9" s="41"/>
      <c r="B9" s="41"/>
      <c r="C9" s="681">
        <v>0</v>
      </c>
      <c r="D9" s="587" t="s">
        <v>56</v>
      </c>
      <c r="E9" s="184"/>
      <c r="F9" s="197">
        <f t="shared" si="1"/>
        <v>0</v>
      </c>
      <c r="G9" s="64">
        <f>Receipts!H70</f>
        <v>0</v>
      </c>
      <c r="H9" s="64">
        <f t="shared" si="2"/>
        <v>0</v>
      </c>
      <c r="I9" s="709"/>
      <c r="J9" s="97"/>
      <c r="K9" s="64">
        <f t="shared" si="0"/>
        <v>0</v>
      </c>
      <c r="L9" s="734">
        <v>-1</v>
      </c>
      <c r="M9" s="741" t="s">
        <v>56</v>
      </c>
      <c r="N9" s="418"/>
      <c r="O9" s="744"/>
      <c r="R9" s="712"/>
      <c r="S9" s="732"/>
      <c r="T9" s="136"/>
      <c r="U9" s="136"/>
    </row>
    <row r="10" spans="1:24" s="37" customFormat="1" ht="20.100000000000001" customHeight="1">
      <c r="A10" s="41"/>
      <c r="B10" s="41"/>
      <c r="C10" s="681">
        <v>5125.55</v>
      </c>
      <c r="D10" s="589" t="s">
        <v>592</v>
      </c>
      <c r="E10" s="184">
        <v>5000</v>
      </c>
      <c r="F10" s="197">
        <f t="shared" si="1"/>
        <v>5000</v>
      </c>
      <c r="G10" s="64">
        <f>Receipts!J70</f>
        <v>5220.32</v>
      </c>
      <c r="H10" s="64">
        <f t="shared" si="2"/>
        <v>220.32</v>
      </c>
      <c r="I10" s="709"/>
      <c r="J10" s="97">
        <v>5000</v>
      </c>
      <c r="K10" s="64">
        <f t="shared" si="0"/>
        <v>-125.55</v>
      </c>
      <c r="L10" s="734">
        <v>-1</v>
      </c>
      <c r="M10" s="745" t="s">
        <v>399</v>
      </c>
      <c r="N10" s="418">
        <v>0</v>
      </c>
      <c r="O10" s="744">
        <v>0</v>
      </c>
      <c r="P10" s="41"/>
      <c r="R10" s="730" t="s">
        <v>593</v>
      </c>
      <c r="S10" s="37" t="s">
        <v>594</v>
      </c>
      <c r="T10" s="136"/>
      <c r="U10" s="136"/>
      <c r="X10" s="37">
        <f>2332+221+4500</f>
        <v>7053</v>
      </c>
    </row>
    <row r="11" spans="1:24" s="37" customFormat="1" ht="20.100000000000001" customHeight="1">
      <c r="A11" s="41"/>
      <c r="B11" s="41"/>
      <c r="C11" s="681">
        <v>534.22</v>
      </c>
      <c r="D11" s="589" t="s">
        <v>229</v>
      </c>
      <c r="E11" s="184">
        <v>534</v>
      </c>
      <c r="F11" s="197">
        <f t="shared" si="1"/>
        <v>534</v>
      </c>
      <c r="G11" s="64">
        <f>Receipts!I70</f>
        <v>1068.44</v>
      </c>
      <c r="H11" s="64">
        <f t="shared" si="2"/>
        <v>534.44000000000005</v>
      </c>
      <c r="I11" s="709">
        <f>G11/E11*100</f>
        <v>200.08</v>
      </c>
      <c r="J11" s="97">
        <v>534</v>
      </c>
      <c r="K11" s="64">
        <f t="shared" si="0"/>
        <v>-0.22</v>
      </c>
      <c r="L11" s="734"/>
      <c r="M11" s="745" t="s">
        <v>229</v>
      </c>
      <c r="N11" s="418">
        <v>534</v>
      </c>
      <c r="O11" s="744"/>
      <c r="P11" s="41"/>
      <c r="R11" s="712"/>
      <c r="S11" s="136"/>
      <c r="T11" s="136"/>
      <c r="U11" s="136"/>
    </row>
    <row r="12" spans="1:24" s="37" customFormat="1" ht="20.100000000000001" customHeight="1">
      <c r="A12" s="41"/>
      <c r="B12" s="41"/>
      <c r="C12" s="681">
        <v>3300</v>
      </c>
      <c r="D12" s="576" t="s">
        <v>385</v>
      </c>
      <c r="E12" s="573"/>
      <c r="F12" s="197">
        <f t="shared" si="1"/>
        <v>0</v>
      </c>
      <c r="G12" s="64">
        <f>Receipts!K4</f>
        <v>0</v>
      </c>
      <c r="H12" s="64">
        <f t="shared" si="2"/>
        <v>0</v>
      </c>
      <c r="I12" s="709"/>
      <c r="J12" s="97"/>
      <c r="K12" s="64"/>
      <c r="L12" s="734"/>
      <c r="M12" s="745"/>
      <c r="N12" s="418"/>
      <c r="O12" s="744"/>
      <c r="P12" s="41"/>
      <c r="R12" s="712"/>
      <c r="S12" s="639"/>
      <c r="T12" s="639"/>
      <c r="U12" s="136"/>
    </row>
    <row r="13" spans="1:24" s="37" customFormat="1" ht="20.100000000000001" customHeight="1">
      <c r="A13" s="41"/>
      <c r="B13" s="41"/>
      <c r="C13" s="681">
        <v>8000</v>
      </c>
      <c r="D13" s="589" t="s">
        <v>296</v>
      </c>
      <c r="E13" s="523"/>
      <c r="F13" s="197">
        <f t="shared" si="1"/>
        <v>0</v>
      </c>
      <c r="G13" s="64">
        <f>Receipts!M19</f>
        <v>4500</v>
      </c>
      <c r="H13" s="64">
        <f t="shared" si="2"/>
        <v>4500</v>
      </c>
      <c r="I13" s="709"/>
      <c r="J13" s="97">
        <v>4500</v>
      </c>
      <c r="K13" s="64">
        <f t="shared" si="0"/>
        <v>-8000</v>
      </c>
      <c r="L13" s="734"/>
      <c r="M13" s="745" t="s">
        <v>296</v>
      </c>
      <c r="N13" s="418"/>
      <c r="O13" s="744"/>
      <c r="P13" s="41"/>
      <c r="R13" s="730" t="s">
        <v>595</v>
      </c>
      <c r="S13" s="37" t="s">
        <v>596</v>
      </c>
    </row>
    <row r="14" spans="1:24" s="37" customFormat="1" ht="20.100000000000001" customHeight="1">
      <c r="A14" s="41"/>
      <c r="B14" s="41"/>
      <c r="C14" s="531">
        <v>69720.490000000005</v>
      </c>
      <c r="D14" s="599" t="s">
        <v>75</v>
      </c>
      <c r="E14" s="197">
        <f>SUM(E5:E13)</f>
        <v>58824</v>
      </c>
      <c r="F14" s="197">
        <f>SUM(F5:F13)</f>
        <v>58824</v>
      </c>
      <c r="G14" s="729">
        <f>SUM(G5:G13)</f>
        <v>66654.12</v>
      </c>
      <c r="H14" s="64">
        <f t="shared" si="2"/>
        <v>7830.12</v>
      </c>
      <c r="I14" s="709"/>
      <c r="J14" s="633">
        <f>SUM(J5:J13)</f>
        <v>66050</v>
      </c>
      <c r="K14" s="64">
        <f>F14-C14</f>
        <v>-10896.49</v>
      </c>
      <c r="L14" s="734"/>
      <c r="M14" s="746" t="s">
        <v>75</v>
      </c>
      <c r="N14" s="419">
        <f>SUM(N5:N13)</f>
        <v>56696</v>
      </c>
      <c r="O14" s="744"/>
      <c r="P14" s="41"/>
      <c r="Q14" s="712"/>
      <c r="R14" s="730">
        <v>8</v>
      </c>
      <c r="S14" s="37" t="s">
        <v>604</v>
      </c>
    </row>
    <row r="15" spans="1:24" s="37" customFormat="1" ht="20.100000000000001" customHeight="1">
      <c r="A15" s="41"/>
      <c r="B15" s="41"/>
      <c r="C15" s="531">
        <v>3809.88</v>
      </c>
      <c r="D15" s="590" t="s">
        <v>5</v>
      </c>
      <c r="E15" s="523"/>
      <c r="F15" s="197"/>
      <c r="G15" s="64">
        <f>Receipts!L70</f>
        <v>4961.43</v>
      </c>
      <c r="H15" s="64">
        <f t="shared" si="2"/>
        <v>4961.43</v>
      </c>
      <c r="I15" s="709"/>
      <c r="J15" s="133">
        <f>G15</f>
        <v>4961.43</v>
      </c>
      <c r="K15" s="64">
        <f t="shared" si="0"/>
        <v>-3809.88</v>
      </c>
      <c r="L15" s="734"/>
      <c r="M15" s="745"/>
      <c r="N15" s="418"/>
      <c r="O15" s="744"/>
      <c r="P15" s="41"/>
      <c r="R15" s="712"/>
    </row>
    <row r="16" spans="1:24" s="37" customFormat="1" ht="20.100000000000001" customHeight="1">
      <c r="A16" s="41"/>
      <c r="B16" s="41"/>
      <c r="C16" s="532"/>
      <c r="D16" s="591" t="s">
        <v>65</v>
      </c>
      <c r="E16" s="184">
        <v>101324</v>
      </c>
      <c r="F16" s="197">
        <v>113223</v>
      </c>
      <c r="G16" s="40"/>
      <c r="H16" s="64"/>
      <c r="I16" s="709">
        <f>G16/E16*100</f>
        <v>0</v>
      </c>
      <c r="J16" s="97">
        <v>113223</v>
      </c>
      <c r="K16" s="64"/>
      <c r="L16" s="734"/>
      <c r="M16" s="747" t="s">
        <v>65</v>
      </c>
      <c r="N16" s="643">
        <f>J82</f>
        <v>115651</v>
      </c>
      <c r="O16" s="743">
        <f>(N16-E16)/E16%</f>
        <v>14.14</v>
      </c>
      <c r="P16" s="41"/>
      <c r="R16" s="790" t="s">
        <v>498</v>
      </c>
      <c r="S16" s="37" t="s">
        <v>520</v>
      </c>
    </row>
    <row r="17" spans="1:19" s="37" customFormat="1" ht="20.100000000000001" customHeight="1" thickBot="1">
      <c r="A17" s="41"/>
      <c r="B17" s="41"/>
      <c r="C17" s="531">
        <f>SUM(C14:C16)</f>
        <v>73530.37</v>
      </c>
      <c r="D17" s="599" t="s">
        <v>14</v>
      </c>
      <c r="E17" s="392">
        <f>SUM(E5:E16)-E14</f>
        <v>160148</v>
      </c>
      <c r="F17" s="386">
        <f>SUM(F14:F16)</f>
        <v>172047</v>
      </c>
      <c r="G17" s="42">
        <f>SUM(G14:G16)</f>
        <v>71615.55</v>
      </c>
      <c r="H17" s="50"/>
      <c r="I17" s="710"/>
      <c r="J17" s="733">
        <f>SUM(J14:J16)</f>
        <v>184234.43</v>
      </c>
      <c r="K17" s="64">
        <f>F17-C17</f>
        <v>98516.63</v>
      </c>
      <c r="L17" s="735">
        <f>K17/C17</f>
        <v>1.3398000000000001</v>
      </c>
      <c r="M17" s="748"/>
      <c r="N17" s="420">
        <f>SUM(N5:N16)-N14</f>
        <v>172347</v>
      </c>
      <c r="O17" s="749">
        <f>(N17-E17)/E17%</f>
        <v>7.62</v>
      </c>
      <c r="P17" s="41"/>
      <c r="R17" s="712"/>
    </row>
    <row r="18" spans="1:19" s="37" customFormat="1" ht="59.25" customHeight="1">
      <c r="A18" s="41"/>
      <c r="B18" s="41"/>
      <c r="C18" s="533" t="s">
        <v>434</v>
      </c>
      <c r="D18" s="854" t="s">
        <v>62</v>
      </c>
      <c r="E18" s="182" t="s">
        <v>379</v>
      </c>
      <c r="F18" s="520" t="s">
        <v>427</v>
      </c>
      <c r="G18" s="45" t="s">
        <v>268</v>
      </c>
      <c r="H18" s="46" t="s">
        <v>267</v>
      </c>
      <c r="I18" s="107" t="s">
        <v>518</v>
      </c>
      <c r="J18" s="96" t="s">
        <v>40</v>
      </c>
      <c r="K18" s="47" t="s">
        <v>63</v>
      </c>
      <c r="L18" s="47" t="s">
        <v>72</v>
      </c>
      <c r="M18" s="851" t="s">
        <v>430</v>
      </c>
      <c r="N18" s="852"/>
      <c r="O18" s="788" t="s">
        <v>429</v>
      </c>
      <c r="P18" s="92"/>
      <c r="R18" s="712"/>
    </row>
    <row r="19" spans="1:19" ht="11.25" customHeight="1">
      <c r="C19" s="534"/>
      <c r="D19" s="855"/>
      <c r="E19" s="185"/>
      <c r="F19" s="519"/>
      <c r="G19" s="51" t="s">
        <v>57</v>
      </c>
      <c r="H19" s="48"/>
      <c r="I19" s="719"/>
      <c r="J19" s="48"/>
      <c r="K19" s="23" t="s">
        <v>59</v>
      </c>
      <c r="L19" s="48"/>
      <c r="M19" s="750"/>
      <c r="N19" s="421"/>
      <c r="O19" s="751"/>
      <c r="P19" s="98"/>
    </row>
    <row r="20" spans="1:19" s="37" customFormat="1" ht="18" customHeight="1">
      <c r="A20" s="41"/>
      <c r="B20" s="41"/>
      <c r="C20" s="535">
        <v>10397.85</v>
      </c>
      <c r="D20" s="524" t="s">
        <v>333</v>
      </c>
      <c r="E20" s="179">
        <v>11529</v>
      </c>
      <c r="F20" s="198">
        <f>E20</f>
        <v>11529</v>
      </c>
      <c r="G20" s="40">
        <f>SUMIF(Payments!$O$3:$O$218,D20,Payments!$M$3:$M$218)</f>
        <v>11530.26</v>
      </c>
      <c r="H20" s="717">
        <f>F20-G20</f>
        <v>-1.26</v>
      </c>
      <c r="I20" s="722">
        <f>G20/F20</f>
        <v>1</v>
      </c>
      <c r="J20" s="90">
        <v>11463</v>
      </c>
      <c r="K20" s="64">
        <f t="shared" ref="K20:K52" si="3">G20-C20</f>
        <v>1132.4100000000001</v>
      </c>
      <c r="L20" s="734">
        <f>K20/C20</f>
        <v>0.1089</v>
      </c>
      <c r="M20" s="752" t="s">
        <v>41</v>
      </c>
      <c r="N20" s="422">
        <v>12105</v>
      </c>
      <c r="O20" s="753">
        <f>(N20-E20)/E20%</f>
        <v>5</v>
      </c>
      <c r="P20" s="88"/>
      <c r="R20" s="712"/>
    </row>
    <row r="21" spans="1:19" s="37" customFormat="1" ht="18" customHeight="1">
      <c r="A21" s="41"/>
      <c r="B21" s="41"/>
      <c r="C21" s="535">
        <v>644.28</v>
      </c>
      <c r="D21" s="525" t="s">
        <v>392</v>
      </c>
      <c r="E21" s="179">
        <v>677</v>
      </c>
      <c r="F21" s="198">
        <f t="shared" ref="F21:F55" si="4">E21</f>
        <v>677</v>
      </c>
      <c r="G21" s="40">
        <f>SUMIF(Payments!$O$3:$O$223,D21,Payments!$M$3:$M$225)</f>
        <v>634.26</v>
      </c>
      <c r="H21" s="717">
        <f>F21-G21</f>
        <v>42.74</v>
      </c>
      <c r="I21" s="723">
        <f>G21/F21</f>
        <v>0.93700000000000006</v>
      </c>
      <c r="J21" s="90">
        <f>J20*6%</f>
        <v>687.78</v>
      </c>
      <c r="K21" s="64">
        <f t="shared" si="3"/>
        <v>-10.02</v>
      </c>
      <c r="L21" s="734">
        <f>K21/C21</f>
        <v>-1.5599999999999999E-2</v>
      </c>
      <c r="M21" s="754" t="s">
        <v>276</v>
      </c>
      <c r="N21" s="422">
        <v>726</v>
      </c>
      <c r="O21" s="755">
        <f>(N21-E21)/E21%</f>
        <v>7.24</v>
      </c>
      <c r="P21" s="88"/>
      <c r="R21" s="712"/>
    </row>
    <row r="22" spans="1:19" s="37" customFormat="1" ht="18" customHeight="1">
      <c r="A22" s="41"/>
      <c r="B22" s="41"/>
      <c r="C22" s="535">
        <v>0</v>
      </c>
      <c r="D22" s="525" t="s">
        <v>334</v>
      </c>
      <c r="E22" s="179">
        <v>400</v>
      </c>
      <c r="F22" s="198">
        <f t="shared" si="4"/>
        <v>400</v>
      </c>
      <c r="G22" s="40">
        <f>SUMIF(Payments!$O$3:$O$223,D22,Payments!$M$3:$M$225)</f>
        <v>0</v>
      </c>
      <c r="H22" s="176">
        <f>F22-G22</f>
        <v>400</v>
      </c>
      <c r="I22" s="723">
        <f t="shared" ref="I22" si="5">G22/F22*100</f>
        <v>0</v>
      </c>
      <c r="J22" s="90">
        <v>200</v>
      </c>
      <c r="K22" s="64">
        <f t="shared" si="3"/>
        <v>0</v>
      </c>
      <c r="L22" s="734" t="e">
        <f>K22/C22</f>
        <v>#DIV/0!</v>
      </c>
      <c r="M22" s="741" t="s">
        <v>42</v>
      </c>
      <c r="N22" s="423">
        <v>400</v>
      </c>
      <c r="O22" s="756">
        <f>(N22-E22)/E22%</f>
        <v>0</v>
      </c>
      <c r="P22" s="406"/>
      <c r="R22" s="712"/>
    </row>
    <row r="23" spans="1:19" s="37" customFormat="1" ht="14.25" customHeight="1">
      <c r="A23" s="41"/>
      <c r="B23" s="41"/>
      <c r="C23" s="535"/>
      <c r="D23" s="525"/>
      <c r="E23" s="857" t="s">
        <v>271</v>
      </c>
      <c r="F23" s="858"/>
      <c r="G23" s="207">
        <f>SUM(G20:G22)</f>
        <v>12164.52</v>
      </c>
      <c r="H23" s="176"/>
      <c r="I23" s="723"/>
      <c r="J23" s="90"/>
      <c r="K23" s="64"/>
      <c r="L23" s="734"/>
      <c r="M23" s="757">
        <f>SUM(N20:N22)</f>
        <v>13231</v>
      </c>
      <c r="N23" s="416"/>
      <c r="O23" s="758"/>
      <c r="P23" s="406"/>
      <c r="R23" s="712"/>
    </row>
    <row r="24" spans="1:19" s="37" customFormat="1" ht="18" customHeight="1">
      <c r="A24" s="41"/>
      <c r="B24" s="41"/>
      <c r="C24" s="532">
        <v>539.41999999999996</v>
      </c>
      <c r="D24" s="525" t="s">
        <v>335</v>
      </c>
      <c r="E24" s="186">
        <v>1500</v>
      </c>
      <c r="F24" s="198">
        <f>E24-F25</f>
        <v>1342</v>
      </c>
      <c r="G24" s="40">
        <f>SUMIF(Payments!$O$3:$O$223,D24,Payments!$M$3:$M$225)</f>
        <v>1211.03</v>
      </c>
      <c r="H24" s="717">
        <f>F24-G24</f>
        <v>130.97</v>
      </c>
      <c r="I24" s="723">
        <f t="shared" ref="I24:I52" si="6">G24/F24</f>
        <v>0.90200000000000002</v>
      </c>
      <c r="J24" s="90">
        <v>800</v>
      </c>
      <c r="K24" s="64">
        <f t="shared" si="3"/>
        <v>671.61</v>
      </c>
      <c r="L24" s="734">
        <f t="shared" ref="L24:L54" si="7">K24/C24</f>
        <v>1.2451000000000001</v>
      </c>
      <c r="M24" s="741" t="s">
        <v>21</v>
      </c>
      <c r="N24" s="423">
        <v>400</v>
      </c>
      <c r="O24" s="759">
        <f>(N24-E24)/E24%</f>
        <v>-73.33</v>
      </c>
      <c r="P24" s="41"/>
      <c r="R24" s="790" t="s">
        <v>519</v>
      </c>
      <c r="S24" s="37" t="s">
        <v>517</v>
      </c>
    </row>
    <row r="25" spans="1:19" s="37" customFormat="1" ht="18" customHeight="1">
      <c r="A25" s="41"/>
      <c r="B25" s="41"/>
      <c r="C25" s="532"/>
      <c r="D25" s="525" t="s">
        <v>440</v>
      </c>
      <c r="E25" s="186"/>
      <c r="F25" s="198">
        <f>9*12+50</f>
        <v>158</v>
      </c>
      <c r="G25" s="40">
        <f>SUMIF(Payments!$O$3:$O$223,D25,Payments!$M$3:$M$225)</f>
        <v>154.49</v>
      </c>
      <c r="H25" s="717">
        <f>F25-G25</f>
        <v>3.51</v>
      </c>
      <c r="I25" s="723">
        <f t="shared" si="6"/>
        <v>0.97799999999999998</v>
      </c>
      <c r="J25" s="90">
        <v>158</v>
      </c>
      <c r="K25" s="64"/>
      <c r="L25" s="734"/>
      <c r="M25" s="760" t="s">
        <v>575</v>
      </c>
      <c r="N25" s="423">
        <v>108</v>
      </c>
      <c r="O25" s="761"/>
      <c r="P25" s="41"/>
      <c r="R25" s="790" t="s">
        <v>519</v>
      </c>
      <c r="S25" s="37" t="s">
        <v>521</v>
      </c>
    </row>
    <row r="26" spans="1:19" s="37" customFormat="1" ht="18" customHeight="1">
      <c r="A26" s="41"/>
      <c r="B26" s="41"/>
      <c r="C26" s="532">
        <v>230.18</v>
      </c>
      <c r="D26" s="525" t="s">
        <v>336</v>
      </c>
      <c r="E26" s="186">
        <v>1000</v>
      </c>
      <c r="F26" s="198">
        <f t="shared" si="4"/>
        <v>1000</v>
      </c>
      <c r="G26" s="40">
        <f>SUMIF(Payments!$O$3:$O$223,D26,Payments!$M$3:$M$225)</f>
        <v>35</v>
      </c>
      <c r="H26" s="717">
        <f>F26-G26</f>
        <v>965</v>
      </c>
      <c r="I26" s="723">
        <f t="shared" si="6"/>
        <v>3.5000000000000003E-2</v>
      </c>
      <c r="J26" s="90">
        <v>1000</v>
      </c>
      <c r="K26" s="64">
        <f t="shared" si="3"/>
        <v>-195.18</v>
      </c>
      <c r="L26" s="734">
        <f t="shared" si="7"/>
        <v>-0.84789999999999999</v>
      </c>
      <c r="M26" s="760" t="s">
        <v>302</v>
      </c>
      <c r="N26" s="634">
        <v>1000</v>
      </c>
      <c r="O26" s="761">
        <f>(N26-E26)/E26%</f>
        <v>0</v>
      </c>
      <c r="P26" s="41"/>
      <c r="R26" s="712"/>
    </row>
    <row r="27" spans="1:19" s="37" customFormat="1" ht="18" customHeight="1">
      <c r="A27" s="41"/>
      <c r="B27" s="41"/>
      <c r="C27" s="532">
        <v>0</v>
      </c>
      <c r="D27" s="525" t="s">
        <v>337</v>
      </c>
      <c r="E27" s="186">
        <v>400</v>
      </c>
      <c r="F27" s="198">
        <f t="shared" si="4"/>
        <v>400</v>
      </c>
      <c r="G27" s="40">
        <f>SUMIF(Payments!$O$3:$O$223,D27,Payments!$M$3:$M$225)</f>
        <v>0</v>
      </c>
      <c r="H27" s="717">
        <f t="shared" ref="H27:H40" si="8">F27-G27</f>
        <v>400</v>
      </c>
      <c r="I27" s="723">
        <f t="shared" si="6"/>
        <v>0</v>
      </c>
      <c r="J27" s="90">
        <v>400</v>
      </c>
      <c r="K27" s="64">
        <f t="shared" si="3"/>
        <v>0</v>
      </c>
      <c r="L27" s="734" t="e">
        <f t="shared" si="7"/>
        <v>#DIV/0!</v>
      </c>
      <c r="M27" s="760" t="s">
        <v>53</v>
      </c>
      <c r="N27" s="635">
        <v>300</v>
      </c>
      <c r="O27" s="761">
        <f>(N27-E27)/E27%</f>
        <v>-25</v>
      </c>
      <c r="P27" s="41"/>
      <c r="R27" s="712"/>
    </row>
    <row r="28" spans="1:19" s="37" customFormat="1" ht="18" customHeight="1">
      <c r="A28" s="41"/>
      <c r="B28" s="41"/>
      <c r="C28" s="129"/>
      <c r="D28" s="526" t="s">
        <v>349</v>
      </c>
      <c r="E28" s="192">
        <v>1000</v>
      </c>
      <c r="F28" s="198">
        <f t="shared" si="4"/>
        <v>1000</v>
      </c>
      <c r="G28" s="40">
        <f>SUMIF(Payments!$O$3:$O$223,D28,Payments!$M$3:$M$225)</f>
        <v>0</v>
      </c>
      <c r="H28" s="717">
        <f>F28-G28</f>
        <v>1000</v>
      </c>
      <c r="I28" s="723">
        <f t="shared" si="6"/>
        <v>0</v>
      </c>
      <c r="J28" s="90">
        <v>0</v>
      </c>
      <c r="K28" s="64">
        <f>G28-C30</f>
        <v>-107.41</v>
      </c>
      <c r="L28" s="734">
        <f>K28/C30</f>
        <v>-1</v>
      </c>
      <c r="M28" s="762" t="s">
        <v>215</v>
      </c>
      <c r="N28" s="424">
        <v>732</v>
      </c>
      <c r="O28" s="759"/>
      <c r="P28" s="41"/>
      <c r="R28" s="712"/>
    </row>
    <row r="29" spans="1:19" s="37" customFormat="1" ht="18" customHeight="1">
      <c r="A29" s="41"/>
      <c r="B29" s="41"/>
      <c r="C29" s="129">
        <v>731.53</v>
      </c>
      <c r="D29" s="525" t="s">
        <v>342</v>
      </c>
      <c r="E29" s="190">
        <v>1000</v>
      </c>
      <c r="F29" s="198">
        <f t="shared" si="4"/>
        <v>1000</v>
      </c>
      <c r="G29" s="40">
        <f>SUMIF(Payments!$O$3:$O$223,D29,Payments!$M$3:$M$225)</f>
        <v>791.64</v>
      </c>
      <c r="H29" s="717">
        <f>F29-G29</f>
        <v>208.36</v>
      </c>
      <c r="I29" s="723">
        <f t="shared" si="6"/>
        <v>0.79200000000000004</v>
      </c>
      <c r="J29" s="90">
        <v>800</v>
      </c>
      <c r="K29" s="64">
        <f>G29-C29</f>
        <v>60.11</v>
      </c>
      <c r="L29" s="734">
        <f>K29/C29</f>
        <v>8.2199999999999995E-2</v>
      </c>
      <c r="M29" s="741" t="s">
        <v>1</v>
      </c>
      <c r="N29" s="423">
        <v>1000</v>
      </c>
      <c r="O29" s="759">
        <f>(N29-E29)/E29%</f>
        <v>0</v>
      </c>
      <c r="P29" s="41"/>
      <c r="R29" s="712"/>
    </row>
    <row r="30" spans="1:19" s="37" customFormat="1" ht="18" customHeight="1">
      <c r="A30" s="41"/>
      <c r="B30" s="41"/>
      <c r="C30" s="129">
        <v>107.41</v>
      </c>
      <c r="D30" s="526" t="s">
        <v>639</v>
      </c>
      <c r="E30" s="186">
        <v>1500</v>
      </c>
      <c r="F30" s="198">
        <f t="shared" si="4"/>
        <v>1500</v>
      </c>
      <c r="G30" s="40">
        <f>SUMIF(Payments!$O$3:$O$223,D30,Payments!$M$3:$M$225)</f>
        <v>605.82000000000005</v>
      </c>
      <c r="H30" s="718">
        <f t="shared" si="8"/>
        <v>894.18</v>
      </c>
      <c r="I30" s="723">
        <f t="shared" si="6"/>
        <v>0.40400000000000003</v>
      </c>
      <c r="J30" s="90">
        <v>350</v>
      </c>
      <c r="K30" s="64" t="e">
        <f>G30-#REF!</f>
        <v>#REF!</v>
      </c>
      <c r="L30" s="734" t="e">
        <f>K30/#REF!</f>
        <v>#REF!</v>
      </c>
      <c r="M30" s="762" t="s">
        <v>300</v>
      </c>
      <c r="N30" s="634">
        <v>500</v>
      </c>
      <c r="O30" s="759"/>
      <c r="P30" s="41"/>
      <c r="R30" s="712"/>
    </row>
    <row r="31" spans="1:19" s="37" customFormat="1" ht="18" customHeight="1">
      <c r="A31" s="41"/>
      <c r="B31" s="41"/>
      <c r="C31" s="129">
        <v>397.51</v>
      </c>
      <c r="D31" s="525" t="s">
        <v>638</v>
      </c>
      <c r="E31" s="186">
        <v>600</v>
      </c>
      <c r="F31" s="198">
        <f t="shared" si="4"/>
        <v>600</v>
      </c>
      <c r="G31" s="40">
        <f>SUMIF(Payments!$O$3:$O$223,D31,Payments!$M$3:$M$225)</f>
        <v>647.32000000000005</v>
      </c>
      <c r="H31" s="717">
        <f t="shared" si="8"/>
        <v>-47.32</v>
      </c>
      <c r="I31" s="723">
        <f t="shared" si="6"/>
        <v>1.079</v>
      </c>
      <c r="J31" s="90">
        <v>606</v>
      </c>
      <c r="K31" s="64">
        <f t="shared" si="3"/>
        <v>249.81</v>
      </c>
      <c r="L31" s="734">
        <f t="shared" si="7"/>
        <v>0.62839999999999996</v>
      </c>
      <c r="M31" s="763" t="s">
        <v>299</v>
      </c>
      <c r="N31" s="422">
        <v>750</v>
      </c>
      <c r="O31" s="761">
        <f t="shared" ref="O31:O39" si="9">(N31-E31)/E31%</f>
        <v>25</v>
      </c>
      <c r="P31" s="41"/>
      <c r="R31" s="712"/>
    </row>
    <row r="32" spans="1:19" s="37" customFormat="1" ht="18" customHeight="1">
      <c r="A32" s="41"/>
      <c r="B32" s="41"/>
      <c r="C32" s="129">
        <v>187</v>
      </c>
      <c r="D32" s="525" t="s">
        <v>343</v>
      </c>
      <c r="E32" s="189">
        <v>400</v>
      </c>
      <c r="F32" s="198">
        <f t="shared" si="4"/>
        <v>400</v>
      </c>
      <c r="G32" s="40">
        <f>SUMIF(Payments!$O$3:$O$223,D32,Payments!$M$3:$M$225)</f>
        <v>256</v>
      </c>
      <c r="H32" s="717">
        <f t="shared" si="8"/>
        <v>144</v>
      </c>
      <c r="I32" s="723">
        <f t="shared" si="6"/>
        <v>0.64</v>
      </c>
      <c r="J32" s="90">
        <f>25*11</f>
        <v>275</v>
      </c>
      <c r="K32" s="64">
        <f t="shared" si="3"/>
        <v>69</v>
      </c>
      <c r="L32" s="734">
        <f t="shared" si="7"/>
        <v>0.36899999999999999</v>
      </c>
      <c r="M32" s="741" t="s">
        <v>297</v>
      </c>
      <c r="N32" s="425">
        <v>400</v>
      </c>
      <c r="O32" s="759">
        <f t="shared" si="9"/>
        <v>0</v>
      </c>
      <c r="P32" s="41"/>
      <c r="R32" s="712"/>
    </row>
    <row r="33" spans="1:19" s="37" customFormat="1" ht="18" customHeight="1">
      <c r="A33" s="41"/>
      <c r="B33" s="41"/>
      <c r="C33" s="129">
        <v>585</v>
      </c>
      <c r="D33" s="525" t="s">
        <v>344</v>
      </c>
      <c r="E33" s="191">
        <v>625</v>
      </c>
      <c r="F33" s="198">
        <f t="shared" si="4"/>
        <v>625</v>
      </c>
      <c r="G33" s="40">
        <f>SUMIF(Payments!$O$3:$O$223,D33,Payments!$M$3:$M$225)</f>
        <v>571</v>
      </c>
      <c r="H33" s="717">
        <f t="shared" si="8"/>
        <v>54</v>
      </c>
      <c r="I33" s="723">
        <f t="shared" si="6"/>
        <v>0.91400000000000003</v>
      </c>
      <c r="J33" s="90">
        <v>585</v>
      </c>
      <c r="K33" s="64">
        <f t="shared" si="3"/>
        <v>-14</v>
      </c>
      <c r="L33" s="734">
        <f t="shared" si="7"/>
        <v>-2.3900000000000001E-2</v>
      </c>
      <c r="M33" s="754" t="s">
        <v>2</v>
      </c>
      <c r="N33" s="426">
        <f>315+310</f>
        <v>625</v>
      </c>
      <c r="O33" s="764">
        <f t="shared" si="9"/>
        <v>0</v>
      </c>
      <c r="P33" s="41"/>
      <c r="R33" s="712"/>
    </row>
    <row r="34" spans="1:19" s="37" customFormat="1" ht="18" customHeight="1">
      <c r="A34" s="41"/>
      <c r="B34" s="41"/>
      <c r="C34" s="129">
        <v>2200</v>
      </c>
      <c r="D34" s="527" t="s">
        <v>341</v>
      </c>
      <c r="E34" s="189">
        <v>2200</v>
      </c>
      <c r="F34" s="198">
        <f t="shared" si="4"/>
        <v>2200</v>
      </c>
      <c r="G34" s="40">
        <f>SUMIF(Payments!$O$3:$O$223,D34,Payments!$M$3:$M$225)</f>
        <v>2200</v>
      </c>
      <c r="H34" s="717">
        <f>F34-G34</f>
        <v>0</v>
      </c>
      <c r="I34" s="723">
        <f t="shared" si="6"/>
        <v>1</v>
      </c>
      <c r="J34" s="90">
        <v>2200</v>
      </c>
      <c r="K34" s="64">
        <f>G34-C34</f>
        <v>0</v>
      </c>
      <c r="L34" s="734">
        <f>K34/C34</f>
        <v>0</v>
      </c>
      <c r="M34" s="741" t="s">
        <v>22</v>
      </c>
      <c r="N34" s="636">
        <v>2200</v>
      </c>
      <c r="O34" s="765">
        <f>(N34-E34)/E34%</f>
        <v>0</v>
      </c>
      <c r="P34" s="41"/>
      <c r="R34" s="712"/>
    </row>
    <row r="35" spans="1:19" s="37" customFormat="1" ht="18" customHeight="1">
      <c r="A35" s="41"/>
      <c r="B35" s="41"/>
      <c r="C35" s="129">
        <v>850.46</v>
      </c>
      <c r="D35" s="525" t="s">
        <v>338</v>
      </c>
      <c r="E35" s="186">
        <v>1600</v>
      </c>
      <c r="F35" s="198">
        <f t="shared" si="4"/>
        <v>1600</v>
      </c>
      <c r="G35" s="40">
        <f>SUMIF(Payments!$O$3:$O$223,D35,Payments!$M$3:$M$225)</f>
        <v>1156.23</v>
      </c>
      <c r="H35" s="717">
        <f>F35-G35</f>
        <v>443.77</v>
      </c>
      <c r="I35" s="723">
        <f t="shared" si="6"/>
        <v>0.72299999999999998</v>
      </c>
      <c r="J35" s="90">
        <v>1550</v>
      </c>
      <c r="K35" s="64">
        <f>G35-C35</f>
        <v>305.77</v>
      </c>
      <c r="L35" s="734">
        <f>K35/C35</f>
        <v>0.35949999999999999</v>
      </c>
      <c r="M35" s="754" t="s">
        <v>0</v>
      </c>
      <c r="N35" s="423">
        <v>1600</v>
      </c>
      <c r="O35" s="759">
        <f>(N35-E35)/E35%</f>
        <v>0</v>
      </c>
      <c r="P35" s="41"/>
      <c r="R35" s="712"/>
    </row>
    <row r="36" spans="1:19" s="37" customFormat="1" ht="16.5" customHeight="1">
      <c r="A36" s="41"/>
      <c r="B36" s="41"/>
      <c r="C36" s="129">
        <v>7546.49</v>
      </c>
      <c r="D36" s="525" t="s">
        <v>339</v>
      </c>
      <c r="E36" s="187">
        <v>1500</v>
      </c>
      <c r="F36" s="198">
        <f t="shared" si="4"/>
        <v>1500</v>
      </c>
      <c r="G36" s="40">
        <f>SUMIF(Payments!$O$3:$O$223,D36,Payments!$M$3:$M$225)</f>
        <v>1192</v>
      </c>
      <c r="H36" s="717">
        <f>F36-G36</f>
        <v>308</v>
      </c>
      <c r="I36" s="723">
        <f t="shared" si="6"/>
        <v>0.79500000000000004</v>
      </c>
      <c r="J36" s="683">
        <v>1500</v>
      </c>
      <c r="K36" s="64">
        <f>G36-C36</f>
        <v>-6354.49</v>
      </c>
      <c r="L36" s="734">
        <f>K36/C36</f>
        <v>-0.84199999999999997</v>
      </c>
      <c r="M36" s="754" t="s">
        <v>68</v>
      </c>
      <c r="N36" s="684">
        <v>1500</v>
      </c>
      <c r="O36" s="759">
        <f>(N36-E36)/E36%</f>
        <v>0</v>
      </c>
      <c r="P36" s="88"/>
      <c r="R36" s="712"/>
    </row>
    <row r="37" spans="1:19" s="37" customFormat="1" ht="20.100000000000001" customHeight="1">
      <c r="A37" s="41"/>
      <c r="B37" s="41"/>
      <c r="C37" s="129">
        <v>7375.83</v>
      </c>
      <c r="D37" s="526" t="s">
        <v>340</v>
      </c>
      <c r="E37" s="188">
        <v>1750</v>
      </c>
      <c r="F37" s="198">
        <f t="shared" si="4"/>
        <v>1750</v>
      </c>
      <c r="G37" s="40">
        <f>SUMIF(Payments!$O$3:$O$223,D37,Payments!$M$3:$M$225)</f>
        <v>242.88</v>
      </c>
      <c r="H37" s="717">
        <f>F37-G37</f>
        <v>1507.12</v>
      </c>
      <c r="I37" s="723">
        <f t="shared" si="6"/>
        <v>0.13900000000000001</v>
      </c>
      <c r="J37" s="683">
        <v>1750</v>
      </c>
      <c r="K37" s="64">
        <f>G37-C37</f>
        <v>-7132.95</v>
      </c>
      <c r="L37" s="734">
        <f>K37/C37</f>
        <v>-0.96709999999999996</v>
      </c>
      <c r="M37" s="766" t="s">
        <v>225</v>
      </c>
      <c r="N37" s="685">
        <v>1750</v>
      </c>
      <c r="O37" s="767">
        <f>(N37-E37)/E37%</f>
        <v>0</v>
      </c>
      <c r="P37" s="41"/>
      <c r="Q37" s="602"/>
      <c r="R37" s="714"/>
    </row>
    <row r="38" spans="1:19" s="37" customFormat="1" ht="18" customHeight="1">
      <c r="A38" s="41"/>
      <c r="B38" s="41"/>
      <c r="C38" s="129">
        <v>417.63</v>
      </c>
      <c r="D38" s="526" t="s">
        <v>345</v>
      </c>
      <c r="E38" s="189">
        <v>1500</v>
      </c>
      <c r="F38" s="198">
        <f t="shared" si="4"/>
        <v>1500</v>
      </c>
      <c r="G38" s="40">
        <f>SUMIF(Payments!$O$3:$O$223,D38,Payments!$M$3:$M$225)</f>
        <v>1637.94</v>
      </c>
      <c r="H38" s="717">
        <f t="shared" si="8"/>
        <v>-137.94</v>
      </c>
      <c r="I38" s="723">
        <f t="shared" si="6"/>
        <v>1.0920000000000001</v>
      </c>
      <c r="J38" s="683">
        <v>1000</v>
      </c>
      <c r="K38" s="64">
        <f t="shared" si="3"/>
        <v>1220.31</v>
      </c>
      <c r="L38" s="734">
        <f t="shared" si="7"/>
        <v>2.9220000000000002</v>
      </c>
      <c r="M38" s="768" t="s">
        <v>23</v>
      </c>
      <c r="N38" s="686">
        <v>1000</v>
      </c>
      <c r="O38" s="759">
        <f t="shared" si="9"/>
        <v>-33.33</v>
      </c>
      <c r="P38" s="41"/>
      <c r="R38" s="712"/>
    </row>
    <row r="39" spans="1:19" s="37" customFormat="1" ht="18" customHeight="1">
      <c r="A39" s="41"/>
      <c r="B39" s="41"/>
      <c r="C39" s="129">
        <v>1800</v>
      </c>
      <c r="D39" s="525" t="s">
        <v>431</v>
      </c>
      <c r="E39" s="193">
        <v>850</v>
      </c>
      <c r="F39" s="198">
        <f t="shared" si="4"/>
        <v>850</v>
      </c>
      <c r="G39" s="40">
        <f>SUMIF(Payments!$O$3:$O$223,D39,Payments!$M$3:$M$225)</f>
        <v>1230</v>
      </c>
      <c r="H39" s="717">
        <f t="shared" si="8"/>
        <v>-380</v>
      </c>
      <c r="I39" s="723">
        <f t="shared" si="6"/>
        <v>1.4470000000000001</v>
      </c>
      <c r="J39" s="683">
        <v>850</v>
      </c>
      <c r="K39" s="64">
        <f t="shared" si="3"/>
        <v>-570</v>
      </c>
      <c r="L39" s="734">
        <f t="shared" si="7"/>
        <v>-0.31669999999999998</v>
      </c>
      <c r="M39" s="741" t="s">
        <v>58</v>
      </c>
      <c r="N39" s="687">
        <v>850</v>
      </c>
      <c r="O39" s="759">
        <f t="shared" si="9"/>
        <v>0</v>
      </c>
      <c r="P39" s="41"/>
      <c r="R39" s="790"/>
    </row>
    <row r="40" spans="1:19" s="37" customFormat="1" ht="18" customHeight="1">
      <c r="A40" s="41"/>
      <c r="B40" s="41"/>
      <c r="C40" s="129">
        <v>1190</v>
      </c>
      <c r="D40" s="526" t="s">
        <v>351</v>
      </c>
      <c r="E40" s="193">
        <v>2500</v>
      </c>
      <c r="F40" s="198">
        <f t="shared" si="4"/>
        <v>2500</v>
      </c>
      <c r="G40" s="40">
        <f>SUMIF(Payments!$O$3:$O$223,D40,Payments!$M$3:$M$225)</f>
        <v>3453.84</v>
      </c>
      <c r="H40" s="717">
        <f t="shared" si="8"/>
        <v>-953.84</v>
      </c>
      <c r="I40" s="723">
        <f t="shared" si="6"/>
        <v>1.3819999999999999</v>
      </c>
      <c r="J40" s="683">
        <v>2400</v>
      </c>
      <c r="K40" s="64">
        <f t="shared" si="3"/>
        <v>2263.84</v>
      </c>
      <c r="L40" s="734">
        <f t="shared" si="7"/>
        <v>1.9024000000000001</v>
      </c>
      <c r="M40" s="762" t="s">
        <v>221</v>
      </c>
      <c r="N40" s="687">
        <v>2500</v>
      </c>
      <c r="O40" s="759">
        <f>(N40-E49)/E49%</f>
        <v>150</v>
      </c>
      <c r="P40" s="41"/>
      <c r="R40" s="712"/>
    </row>
    <row r="41" spans="1:19" s="37" customFormat="1" ht="18" customHeight="1">
      <c r="A41" s="41" t="s">
        <v>74</v>
      </c>
      <c r="B41" s="41"/>
      <c r="C41" s="129">
        <v>650</v>
      </c>
      <c r="D41" s="526" t="s">
        <v>401</v>
      </c>
      <c r="E41" s="193">
        <v>3000</v>
      </c>
      <c r="F41" s="198">
        <f t="shared" si="4"/>
        <v>3000</v>
      </c>
      <c r="G41" s="40">
        <f>SUMIF(Payments!$O$3:$O$223,D41,Payments!$M$3:$M$225)</f>
        <v>0</v>
      </c>
      <c r="H41" s="717">
        <f>F41-G41</f>
        <v>3000</v>
      </c>
      <c r="I41" s="723">
        <f t="shared" si="6"/>
        <v>0</v>
      </c>
      <c r="J41" s="683">
        <v>1000</v>
      </c>
      <c r="K41" s="64">
        <f t="shared" si="3"/>
        <v>-650</v>
      </c>
      <c r="L41" s="734">
        <f t="shared" si="7"/>
        <v>-1</v>
      </c>
      <c r="M41" s="762" t="s">
        <v>277</v>
      </c>
      <c r="N41" s="688">
        <v>3000</v>
      </c>
      <c r="O41" s="759"/>
      <c r="P41" s="41"/>
      <c r="R41" s="712"/>
    </row>
    <row r="42" spans="1:19" s="37" customFormat="1" ht="18" customHeight="1">
      <c r="A42" s="41"/>
      <c r="B42" s="41"/>
      <c r="C42" s="129">
        <v>4256.49</v>
      </c>
      <c r="D42" s="526" t="s">
        <v>373</v>
      </c>
      <c r="E42" s="193">
        <v>3000</v>
      </c>
      <c r="F42" s="198">
        <f t="shared" si="4"/>
        <v>3000</v>
      </c>
      <c r="G42" s="40">
        <f>SUMIF(Payments!$O$3:$O$223,D42,Payments!$M$3:$M$225)</f>
        <v>1059.48</v>
      </c>
      <c r="H42" s="717">
        <f t="shared" ref="H42:H51" si="10">F42-G42</f>
        <v>1940.52</v>
      </c>
      <c r="I42" s="723">
        <f t="shared" si="6"/>
        <v>0.35299999999999998</v>
      </c>
      <c r="J42" s="683">
        <v>1200</v>
      </c>
      <c r="K42" s="64">
        <f t="shared" si="3"/>
        <v>-3197.01</v>
      </c>
      <c r="L42" s="734">
        <f t="shared" si="7"/>
        <v>-0.75109999999999999</v>
      </c>
      <c r="M42" s="762" t="s">
        <v>374</v>
      </c>
      <c r="N42" s="688">
        <v>3000</v>
      </c>
      <c r="O42" s="759"/>
      <c r="P42" s="41"/>
      <c r="R42" s="790" t="s">
        <v>600</v>
      </c>
      <c r="S42" s="37" t="s">
        <v>601</v>
      </c>
    </row>
    <row r="43" spans="1:19" s="37" customFormat="1" ht="18" customHeight="1">
      <c r="A43" s="41"/>
      <c r="B43" s="41"/>
      <c r="C43" s="129"/>
      <c r="D43" s="526" t="s">
        <v>525</v>
      </c>
      <c r="E43" s="193"/>
      <c r="F43" s="198">
        <v>63</v>
      </c>
      <c r="G43" s="40">
        <f>SUMIF(Payments!$O$3:$O$223,D43,Payments!$M$3:$M$225)</f>
        <v>21.72</v>
      </c>
      <c r="H43" s="717">
        <f t="shared" ref="H43" si="11">F43-G43</f>
        <v>41.28</v>
      </c>
      <c r="I43" s="723">
        <f t="shared" si="6"/>
        <v>0.34499999999999997</v>
      </c>
      <c r="J43" s="683"/>
      <c r="K43" s="64"/>
      <c r="L43" s="734"/>
      <c r="M43" s="762"/>
      <c r="N43" s="688"/>
      <c r="O43" s="759"/>
      <c r="P43" s="41"/>
      <c r="R43" s="790" t="s">
        <v>514</v>
      </c>
      <c r="S43" s="37" t="s">
        <v>513</v>
      </c>
    </row>
    <row r="44" spans="1:19" s="37" customFormat="1" ht="18" customHeight="1">
      <c r="A44" s="41"/>
      <c r="B44" s="41"/>
      <c r="C44" s="129">
        <v>4707.9399999999996</v>
      </c>
      <c r="D44" s="526" t="s">
        <v>353</v>
      </c>
      <c r="E44" s="193">
        <v>2000</v>
      </c>
      <c r="F44" s="198">
        <v>6500</v>
      </c>
      <c r="G44" s="40">
        <f>SUMIF(Payments!$O$3:$O$223,D44,Payments!$M$3:$M$225)</f>
        <v>11500</v>
      </c>
      <c r="H44" s="717">
        <f t="shared" si="10"/>
        <v>-5000</v>
      </c>
      <c r="I44" s="723">
        <f t="shared" si="6"/>
        <v>1.7689999999999999</v>
      </c>
      <c r="J44" s="683">
        <v>8000</v>
      </c>
      <c r="K44" s="64">
        <f t="shared" si="3"/>
        <v>6792.06</v>
      </c>
      <c r="L44" s="734">
        <f t="shared" si="7"/>
        <v>1.4427000000000001</v>
      </c>
      <c r="M44" s="762" t="s">
        <v>298</v>
      </c>
      <c r="N44" s="689">
        <v>2000</v>
      </c>
      <c r="O44" s="759"/>
      <c r="P44" s="41"/>
      <c r="R44" s="790" t="s">
        <v>516</v>
      </c>
      <c r="S44" s="37" t="s">
        <v>522</v>
      </c>
    </row>
    <row r="45" spans="1:19" s="37" customFormat="1" ht="18" customHeight="1">
      <c r="A45" s="41"/>
      <c r="B45" s="41"/>
      <c r="C45" s="129">
        <v>161.94999999999999</v>
      </c>
      <c r="D45" s="525" t="s">
        <v>346</v>
      </c>
      <c r="E45" s="192">
        <v>250</v>
      </c>
      <c r="F45" s="198">
        <f t="shared" si="4"/>
        <v>250</v>
      </c>
      <c r="G45" s="40">
        <f>SUMIF(Payments!$O$3:$O$223,D45,Payments!$M$3:$M$225)</f>
        <v>0</v>
      </c>
      <c r="H45" s="717">
        <f>F45-G45</f>
        <v>250</v>
      </c>
      <c r="I45" s="723">
        <f t="shared" si="6"/>
        <v>0</v>
      </c>
      <c r="J45" s="683">
        <v>200</v>
      </c>
      <c r="K45" s="64">
        <f t="shared" ref="K45:K50" si="12">G45-C45</f>
        <v>-161.94999999999999</v>
      </c>
      <c r="L45" s="734">
        <f t="shared" ref="L45:L50" si="13">K45/C45</f>
        <v>-1</v>
      </c>
      <c r="M45" s="741" t="s">
        <v>71</v>
      </c>
      <c r="N45" s="690">
        <v>250</v>
      </c>
      <c r="O45" s="759">
        <f>(N45-E45)/E45%</f>
        <v>0</v>
      </c>
      <c r="P45" s="41"/>
      <c r="R45" s="790" t="s">
        <v>602</v>
      </c>
      <c r="S45" s="37" t="s">
        <v>603</v>
      </c>
    </row>
    <row r="46" spans="1:19" s="37" customFormat="1" ht="18" customHeight="1">
      <c r="A46" s="41"/>
      <c r="B46" s="41"/>
      <c r="C46" s="129">
        <v>0</v>
      </c>
      <c r="D46" s="526" t="s">
        <v>348</v>
      </c>
      <c r="E46" s="192">
        <v>3000</v>
      </c>
      <c r="F46" s="198">
        <f t="shared" si="4"/>
        <v>3000</v>
      </c>
      <c r="G46" s="40">
        <f>SUMIF(Payments!$O$3:$O$223,D46,Payments!$M$3:$M$225)</f>
        <v>0</v>
      </c>
      <c r="H46" s="717">
        <f>F46-G46</f>
        <v>3000</v>
      </c>
      <c r="I46" s="723">
        <f t="shared" si="6"/>
        <v>0</v>
      </c>
      <c r="J46" s="683"/>
      <c r="K46" s="64">
        <f t="shared" si="12"/>
        <v>0</v>
      </c>
      <c r="L46" s="734" t="e">
        <f t="shared" si="13"/>
        <v>#DIV/0!</v>
      </c>
      <c r="M46" s="762" t="s">
        <v>70</v>
      </c>
      <c r="N46" s="690">
        <v>3000</v>
      </c>
      <c r="O46" s="759">
        <f>(N46-E46)/E46%</f>
        <v>0</v>
      </c>
      <c r="P46" s="41"/>
      <c r="R46" s="712"/>
    </row>
    <row r="47" spans="1:19" s="37" customFormat="1" ht="18" customHeight="1">
      <c r="A47" s="41"/>
      <c r="B47" s="41"/>
      <c r="C47" s="129">
        <v>111.96</v>
      </c>
      <c r="D47" s="526" t="s">
        <v>352</v>
      </c>
      <c r="E47" s="193">
        <v>500</v>
      </c>
      <c r="F47" s="198">
        <f t="shared" si="4"/>
        <v>500</v>
      </c>
      <c r="G47" s="40">
        <f>SUMIF(Payments!$O$3:$O$223,D47,Payments!$M$3:$M$225)</f>
        <v>302.87</v>
      </c>
      <c r="H47" s="717">
        <f>F47-G47</f>
        <v>197.13</v>
      </c>
      <c r="I47" s="723">
        <f t="shared" si="6"/>
        <v>0.60599999999999998</v>
      </c>
      <c r="J47" s="683">
        <v>500</v>
      </c>
      <c r="K47" s="64">
        <f t="shared" si="12"/>
        <v>190.91</v>
      </c>
      <c r="L47" s="734">
        <f t="shared" si="13"/>
        <v>1.7052</v>
      </c>
      <c r="M47" s="762" t="s">
        <v>290</v>
      </c>
      <c r="N47" s="688">
        <v>500</v>
      </c>
      <c r="O47" s="759"/>
      <c r="P47" s="41"/>
      <c r="R47" s="790" t="s">
        <v>598</v>
      </c>
      <c r="S47" s="37" t="s">
        <v>599</v>
      </c>
    </row>
    <row r="48" spans="1:19" s="37" customFormat="1" ht="18" customHeight="1">
      <c r="A48" s="41"/>
      <c r="B48" s="41"/>
      <c r="C48" s="129">
        <v>4000</v>
      </c>
      <c r="D48" s="526" t="s">
        <v>389</v>
      </c>
      <c r="E48" s="193">
        <v>0</v>
      </c>
      <c r="F48" s="198">
        <f t="shared" si="4"/>
        <v>0</v>
      </c>
      <c r="G48" s="40">
        <f>SUMIF(Payments!$O$3:$O$223,D48,Payments!$M$3:$M$225)</f>
        <v>0</v>
      </c>
      <c r="H48" s="717"/>
      <c r="I48" s="723"/>
      <c r="J48" s="683">
        <v>0</v>
      </c>
      <c r="K48" s="64">
        <f t="shared" si="12"/>
        <v>-4000</v>
      </c>
      <c r="L48" s="734">
        <f t="shared" si="13"/>
        <v>-1</v>
      </c>
      <c r="M48" s="762"/>
      <c r="N48" s="689"/>
      <c r="O48" s="759"/>
      <c r="P48" s="41"/>
      <c r="R48" s="712"/>
    </row>
    <row r="49" spans="1:21" s="37" customFormat="1" ht="18" customHeight="1">
      <c r="A49" s="41"/>
      <c r="B49" s="41"/>
      <c r="C49" s="129">
        <v>500</v>
      </c>
      <c r="D49" s="528" t="s">
        <v>350</v>
      </c>
      <c r="E49" s="193">
        <v>1000</v>
      </c>
      <c r="F49" s="198">
        <f t="shared" si="4"/>
        <v>1000</v>
      </c>
      <c r="G49" s="40">
        <f>SUMIF(Payments!$O$3:$O$223,D49,Payments!$M$3:$M$225)</f>
        <v>500</v>
      </c>
      <c r="H49" s="717">
        <f>F49-G49</f>
        <v>500</v>
      </c>
      <c r="I49" s="723">
        <f t="shared" si="6"/>
        <v>0.5</v>
      </c>
      <c r="J49" s="90">
        <v>750</v>
      </c>
      <c r="K49" s="64">
        <f t="shared" si="12"/>
        <v>0</v>
      </c>
      <c r="L49" s="734">
        <f t="shared" si="13"/>
        <v>0</v>
      </c>
      <c r="M49" s="762" t="s">
        <v>272</v>
      </c>
      <c r="N49" s="427">
        <v>1000</v>
      </c>
      <c r="O49" s="759"/>
      <c r="P49" s="41"/>
      <c r="R49" s="712"/>
    </row>
    <row r="50" spans="1:21" s="37" customFormat="1" ht="18" customHeight="1">
      <c r="A50" s="41"/>
      <c r="B50" s="41"/>
      <c r="C50" s="129">
        <v>0</v>
      </c>
      <c r="D50" s="525" t="s">
        <v>347</v>
      </c>
      <c r="E50" s="192">
        <v>43</v>
      </c>
      <c r="F50" s="198">
        <f t="shared" si="4"/>
        <v>43</v>
      </c>
      <c r="G50" s="40">
        <f>SUMIF(Payments!$O$3:$O$223,D50,Payments!$M$3:$M$225)</f>
        <v>0</v>
      </c>
      <c r="H50" s="717">
        <f>F50-G50</f>
        <v>43</v>
      </c>
      <c r="I50" s="723">
        <f t="shared" si="6"/>
        <v>0</v>
      </c>
      <c r="J50" s="90">
        <v>0</v>
      </c>
      <c r="K50" s="64">
        <f t="shared" si="12"/>
        <v>0</v>
      </c>
      <c r="L50" s="734" t="e">
        <f t="shared" si="13"/>
        <v>#DIV/0!</v>
      </c>
      <c r="M50" s="741" t="s">
        <v>73</v>
      </c>
      <c r="N50" s="424">
        <v>0</v>
      </c>
      <c r="O50" s="759"/>
      <c r="P50" s="41"/>
      <c r="R50" s="712"/>
    </row>
    <row r="51" spans="1:21" s="37" customFormat="1" ht="18" customHeight="1">
      <c r="A51" s="41"/>
      <c r="B51" s="41"/>
      <c r="C51" s="129"/>
      <c r="D51" s="526" t="s">
        <v>354</v>
      </c>
      <c r="E51" s="193">
        <v>8000</v>
      </c>
      <c r="F51" s="198">
        <f t="shared" si="4"/>
        <v>8000</v>
      </c>
      <c r="G51" s="40">
        <f>SUMIF(Payments!$O$3:$O$223,D51,Payments!$M$3:$M$225)</f>
        <v>0</v>
      </c>
      <c r="H51" s="717">
        <f t="shared" si="10"/>
        <v>8000</v>
      </c>
      <c r="I51" s="723">
        <f t="shared" si="6"/>
        <v>0</v>
      </c>
      <c r="J51" s="90">
        <f t="shared" ref="J51:J55" si="14">E51</f>
        <v>8000</v>
      </c>
      <c r="K51" s="64">
        <f t="shared" si="3"/>
        <v>0</v>
      </c>
      <c r="L51" s="734" t="e">
        <f t="shared" si="7"/>
        <v>#DIV/0!</v>
      </c>
      <c r="M51" s="762" t="s">
        <v>301</v>
      </c>
      <c r="N51" s="490">
        <v>8000</v>
      </c>
      <c r="O51" s="759"/>
      <c r="P51" s="41"/>
      <c r="R51" s="712"/>
    </row>
    <row r="52" spans="1:21" s="37" customFormat="1" ht="18" customHeight="1">
      <c r="A52" s="41"/>
      <c r="B52" s="41"/>
      <c r="C52" s="129"/>
      <c r="D52" s="529" t="s">
        <v>400</v>
      </c>
      <c r="E52" s="193">
        <v>5500</v>
      </c>
      <c r="F52" s="198">
        <f t="shared" si="4"/>
        <v>5500</v>
      </c>
      <c r="G52" s="40">
        <f>SUMIF(Payments!$O$3:$O$223,D52,Payments!$M$3:$M$225)</f>
        <v>0</v>
      </c>
      <c r="H52" s="717"/>
      <c r="I52" s="721">
        <f t="shared" si="6"/>
        <v>0</v>
      </c>
      <c r="J52" s="90">
        <v>5500</v>
      </c>
      <c r="K52" s="64">
        <f t="shared" si="3"/>
        <v>0</v>
      </c>
      <c r="L52" s="734" t="e">
        <f t="shared" si="7"/>
        <v>#DIV/0!</v>
      </c>
      <c r="M52" s="762" t="s">
        <v>400</v>
      </c>
      <c r="N52" s="490">
        <v>5500</v>
      </c>
      <c r="O52" s="759"/>
      <c r="P52" s="41"/>
      <c r="R52" s="712"/>
    </row>
    <row r="53" spans="1:21" s="37" customFormat="1" ht="18" customHeight="1">
      <c r="A53" s="41"/>
      <c r="B53" s="41"/>
      <c r="C53" s="129"/>
      <c r="D53" s="529"/>
      <c r="E53" s="193"/>
      <c r="F53" s="198">
        <f t="shared" si="4"/>
        <v>0</v>
      </c>
      <c r="G53" s="40"/>
      <c r="H53" s="717"/>
      <c r="I53" s="721"/>
      <c r="J53" s="90">
        <f>SUM(J20:J52)</f>
        <v>53724.78</v>
      </c>
      <c r="K53" s="64"/>
      <c r="L53" s="734"/>
      <c r="M53" s="762" t="s">
        <v>398</v>
      </c>
      <c r="N53" s="490">
        <v>0</v>
      </c>
      <c r="O53" s="759"/>
      <c r="P53" s="41"/>
      <c r="R53" s="712"/>
    </row>
    <row r="54" spans="1:21" s="37" customFormat="1" ht="18" customHeight="1">
      <c r="A54" s="41"/>
      <c r="B54" s="41"/>
      <c r="C54" s="129"/>
      <c r="D54" s="529" t="s">
        <v>355</v>
      </c>
      <c r="E54" s="193"/>
      <c r="F54" s="198">
        <f t="shared" si="4"/>
        <v>0</v>
      </c>
      <c r="G54" s="40">
        <f>SUMIF(Payments!$O$3:$O$223,D54,Payments!$M$3:$M$225)</f>
        <v>0</v>
      </c>
      <c r="H54" s="717"/>
      <c r="I54" s="721"/>
      <c r="J54" s="90">
        <f t="shared" si="14"/>
        <v>0</v>
      </c>
      <c r="K54" s="64"/>
      <c r="L54" s="734" t="e">
        <f t="shared" si="7"/>
        <v>#DIV/0!</v>
      </c>
      <c r="M54" s="762"/>
      <c r="N54" s="490"/>
      <c r="O54" s="759"/>
      <c r="P54" s="41"/>
      <c r="R54" s="712"/>
    </row>
    <row r="55" spans="1:21" s="37" customFormat="1" ht="18" customHeight="1">
      <c r="A55" s="41"/>
      <c r="B55" s="41"/>
      <c r="C55" s="129"/>
      <c r="D55" s="526" t="s">
        <v>384</v>
      </c>
      <c r="E55" s="193">
        <v>0</v>
      </c>
      <c r="F55" s="198">
        <f t="shared" si="4"/>
        <v>0</v>
      </c>
      <c r="G55" s="40">
        <f>SUMIF(Payments!$O$3:$O$223,D55,Payments!$M$3:$M$225)</f>
        <v>0</v>
      </c>
      <c r="H55" s="717"/>
      <c r="I55" s="721"/>
      <c r="J55" s="90">
        <f t="shared" si="14"/>
        <v>0</v>
      </c>
      <c r="K55" s="64">
        <f>G54-C54</f>
        <v>0</v>
      </c>
      <c r="L55" s="734" t="e">
        <f>K55/C54</f>
        <v>#DIV/0!</v>
      </c>
      <c r="M55" s="769" t="s">
        <v>43</v>
      </c>
      <c r="N55" s="428">
        <f>SUM(N20:N54)</f>
        <v>56696</v>
      </c>
      <c r="O55" s="770">
        <f>(N55-E56)/E56*100</f>
        <v>-3.62</v>
      </c>
      <c r="P55" s="41"/>
      <c r="R55" s="712"/>
    </row>
    <row r="56" spans="1:21" s="37" customFormat="1" ht="20.100000000000001" customHeight="1">
      <c r="A56" s="41"/>
      <c r="B56" s="41"/>
      <c r="C56" s="394">
        <f>SUM(C20:C55)</f>
        <v>49588.93</v>
      </c>
      <c r="D56" s="592" t="s">
        <v>43</v>
      </c>
      <c r="E56" s="194">
        <f>SUM(E20:E55)</f>
        <v>58824</v>
      </c>
      <c r="F56" s="194">
        <f>SUM(F20:F55)</f>
        <v>63387</v>
      </c>
      <c r="G56" s="62">
        <f>SUM(G24:G55)</f>
        <v>28769.26</v>
      </c>
      <c r="H56" s="707">
        <f>F56-G56</f>
        <v>34617.74</v>
      </c>
      <c r="I56" s="720">
        <f>G56/F56</f>
        <v>0.45</v>
      </c>
      <c r="J56" s="62">
        <f>J53+J54+J55</f>
        <v>53724.78</v>
      </c>
      <c r="K56" s="63">
        <f>G56-C56</f>
        <v>-20819.669999999998</v>
      </c>
      <c r="L56" s="65"/>
      <c r="M56" s="849" t="s">
        <v>288</v>
      </c>
      <c r="N56" s="850"/>
      <c r="O56" s="771"/>
      <c r="P56" s="41"/>
      <c r="R56" s="712"/>
    </row>
    <row r="57" spans="1:21" s="37" customFormat="1" ht="18" customHeight="1">
      <c r="A57" s="41"/>
      <c r="B57" s="36"/>
      <c r="C57" s="129">
        <v>3300</v>
      </c>
      <c r="D57" s="576" t="s">
        <v>385</v>
      </c>
      <c r="E57" s="193"/>
      <c r="F57" s="601"/>
      <c r="G57" s="40">
        <f>SUMIF(Payments!$O$3:$O$223,D57,Payments!$M$3:$M$225)</f>
        <v>0</v>
      </c>
      <c r="H57" s="89"/>
      <c r="I57" s="108"/>
      <c r="J57" s="90"/>
      <c r="K57" s="64"/>
      <c r="L57" s="734"/>
      <c r="M57" s="769"/>
      <c r="N57" s="428"/>
      <c r="O57" s="770"/>
      <c r="P57" s="41"/>
      <c r="R57" s="712"/>
      <c r="S57" s="639"/>
      <c r="T57" s="639"/>
      <c r="U57" s="136"/>
    </row>
    <row r="58" spans="1:21" s="37" customFormat="1" ht="18" customHeight="1">
      <c r="A58" s="41"/>
      <c r="B58" s="36"/>
      <c r="C58" s="129">
        <v>10000</v>
      </c>
      <c r="D58" s="590" t="s">
        <v>386</v>
      </c>
      <c r="E58" s="193"/>
      <c r="F58" s="198"/>
      <c r="G58" s="40">
        <f>SUMIF(Payments!$O$3:$O$223,D58,Payments!$M$3:$M$225)</f>
        <v>0</v>
      </c>
      <c r="H58" s="89"/>
      <c r="I58" s="108"/>
      <c r="J58" s="90"/>
      <c r="K58" s="579"/>
      <c r="L58" s="734"/>
      <c r="M58" s="772"/>
      <c r="N58" s="580"/>
      <c r="O58" s="770"/>
      <c r="P58" s="41"/>
      <c r="R58" s="712"/>
    </row>
    <row r="59" spans="1:21" s="37" customFormat="1" ht="20.100000000000001" customHeight="1">
      <c r="A59" s="41"/>
      <c r="B59" s="575"/>
      <c r="C59" s="129"/>
      <c r="D59" s="593" t="s">
        <v>288</v>
      </c>
      <c r="E59" s="393"/>
      <c r="F59" s="198"/>
      <c r="G59" s="40">
        <f>SUMIF(Payments!$O$3:$O$223,D59,Payments!$M$3:$M$225)</f>
        <v>0</v>
      </c>
      <c r="H59" s="40"/>
      <c r="I59" s="108"/>
      <c r="J59" s="43"/>
      <c r="K59" s="176"/>
      <c r="L59" s="736"/>
      <c r="M59" s="773"/>
      <c r="N59" s="490"/>
      <c r="O59" s="744"/>
      <c r="P59" s="41"/>
      <c r="R59" s="712"/>
    </row>
    <row r="60" spans="1:21" s="37" customFormat="1" ht="20.100000000000001" customHeight="1">
      <c r="A60" s="41"/>
      <c r="B60" s="41"/>
      <c r="C60" s="395"/>
      <c r="D60" s="587" t="s">
        <v>273</v>
      </c>
      <c r="E60" s="195">
        <v>53245</v>
      </c>
      <c r="F60" s="198">
        <f>53245+11789</f>
        <v>65034</v>
      </c>
      <c r="G60" s="40">
        <f>SUMIF(Payments!$O$3:$O$223,D60,Payments!$M$3:$M$225)</f>
        <v>0</v>
      </c>
      <c r="H60" s="89">
        <f t="shared" ref="H60:H66" si="15">F60-G60</f>
        <v>65034</v>
      </c>
      <c r="I60" s="108">
        <f t="shared" ref="I60:I66" si="16">G60/E60*100</f>
        <v>0</v>
      </c>
      <c r="J60" s="90"/>
      <c r="K60" s="44"/>
      <c r="L60" s="736"/>
      <c r="M60" s="773"/>
      <c r="N60" s="490"/>
      <c r="O60" s="744"/>
      <c r="P60" s="41"/>
      <c r="R60" s="713" t="s">
        <v>498</v>
      </c>
      <c r="S60" s="37" t="s">
        <v>520</v>
      </c>
    </row>
    <row r="61" spans="1:21" s="37" customFormat="1" ht="20.100000000000001" customHeight="1">
      <c r="A61" s="41"/>
      <c r="B61" s="41"/>
      <c r="C61" s="395"/>
      <c r="D61" s="587" t="s">
        <v>67</v>
      </c>
      <c r="E61" s="195">
        <v>45635</v>
      </c>
      <c r="F61" s="198">
        <f>45635-4500</f>
        <v>41135</v>
      </c>
      <c r="G61" s="40">
        <f>SUMIF(Payments!$O$3:$O$223,D61,Payments!$M$3:$M$225)</f>
        <v>0</v>
      </c>
      <c r="H61" s="89">
        <f t="shared" si="15"/>
        <v>41135</v>
      </c>
      <c r="I61" s="108">
        <f t="shared" si="16"/>
        <v>0</v>
      </c>
      <c r="J61" s="90"/>
      <c r="K61" s="44"/>
      <c r="L61" s="736"/>
      <c r="M61" s="774" t="s">
        <v>384</v>
      </c>
      <c r="N61" s="490">
        <v>12383</v>
      </c>
      <c r="O61" s="744"/>
      <c r="P61" s="41"/>
      <c r="R61" s="713" t="s">
        <v>516</v>
      </c>
      <c r="S61" s="37" t="s">
        <v>515</v>
      </c>
    </row>
    <row r="62" spans="1:21" s="37" customFormat="1" ht="20.100000000000001" customHeight="1">
      <c r="A62" s="41"/>
      <c r="B62" s="41"/>
      <c r="C62" s="61">
        <v>3722.78</v>
      </c>
      <c r="D62" s="587" t="s">
        <v>291</v>
      </c>
      <c r="E62" s="195">
        <v>444</v>
      </c>
      <c r="F62" s="198">
        <f>444-63</f>
        <v>381</v>
      </c>
      <c r="G62" s="40">
        <f>SUMIF(Payments!$O$3:$O$223,D62,Payments!$M$3:$M$225)</f>
        <v>17.82</v>
      </c>
      <c r="H62" s="89">
        <f t="shared" si="15"/>
        <v>363.18</v>
      </c>
      <c r="I62" s="108">
        <f t="shared" si="16"/>
        <v>4.01</v>
      </c>
      <c r="J62" s="90"/>
      <c r="K62" s="44"/>
      <c r="L62" s="736"/>
      <c r="M62" s="774" t="s">
        <v>273</v>
      </c>
      <c r="N62" s="429">
        <v>60034</v>
      </c>
      <c r="O62" s="744"/>
      <c r="P62" s="41"/>
      <c r="R62" s="713" t="s">
        <v>514</v>
      </c>
      <c r="S62" s="37" t="s">
        <v>499</v>
      </c>
    </row>
    <row r="63" spans="1:21" ht="20.100000000000001" customHeight="1">
      <c r="C63" s="61"/>
      <c r="D63" s="587" t="s">
        <v>292</v>
      </c>
      <c r="E63" s="196">
        <v>2000</v>
      </c>
      <c r="F63" s="198">
        <f t="shared" ref="F63" si="17">E63</f>
        <v>2000</v>
      </c>
      <c r="G63" s="40">
        <f>SUMIF(Payments!$O$3:$O$223,D63,Payments!$M$3:$M$225)</f>
        <v>0</v>
      </c>
      <c r="H63" s="89">
        <f t="shared" si="15"/>
        <v>2000</v>
      </c>
      <c r="I63" s="108">
        <f t="shared" si="16"/>
        <v>0</v>
      </c>
      <c r="J63" s="90"/>
      <c r="K63" s="44"/>
      <c r="L63" s="736"/>
      <c r="M63" s="741" t="s">
        <v>67</v>
      </c>
      <c r="N63" s="429">
        <v>45635</v>
      </c>
      <c r="O63" s="744"/>
      <c r="P63" s="41"/>
    </row>
    <row r="64" spans="1:21">
      <c r="C64" s="109">
        <v>2087.54</v>
      </c>
      <c r="D64" s="587" t="s">
        <v>380</v>
      </c>
      <c r="E64" s="195"/>
      <c r="F64" s="198"/>
      <c r="G64" s="675">
        <f>SUMIF(Payments!$O$3:$O$223,D64,Payments!$M$3:$M$225)</f>
        <v>0</v>
      </c>
      <c r="H64" s="89">
        <f t="shared" si="15"/>
        <v>0</v>
      </c>
      <c r="I64" s="108" t="e">
        <f t="shared" si="16"/>
        <v>#DIV/0!</v>
      </c>
      <c r="J64" s="90"/>
      <c r="K64" s="64">
        <f t="shared" ref="K64:K65" si="18">G64-C64</f>
        <v>-2087.54</v>
      </c>
      <c r="L64" s="736"/>
      <c r="M64" s="741" t="s">
        <v>291</v>
      </c>
      <c r="N64" s="429">
        <v>444</v>
      </c>
      <c r="O64" s="744"/>
      <c r="P64" s="41"/>
    </row>
    <row r="65" spans="1:18" ht="19.5" customHeight="1">
      <c r="B65" s="134"/>
      <c r="C65" s="109"/>
      <c r="D65" s="587" t="s">
        <v>356</v>
      </c>
      <c r="E65" s="195"/>
      <c r="F65" s="198"/>
      <c r="G65" s="40">
        <f>SUMIF(Payments!$O$3:$O$223,D65,Payments!$M$3:$M$225)</f>
        <v>0</v>
      </c>
      <c r="H65" s="89">
        <f t="shared" si="15"/>
        <v>0</v>
      </c>
      <c r="I65" s="108" t="e">
        <f t="shared" si="16"/>
        <v>#DIV/0!</v>
      </c>
      <c r="J65" s="135"/>
      <c r="K65" s="64">
        <f t="shared" si="18"/>
        <v>0</v>
      </c>
      <c r="L65" s="737"/>
      <c r="M65" s="741" t="s">
        <v>292</v>
      </c>
      <c r="N65" s="429">
        <v>2000</v>
      </c>
      <c r="O65" s="744">
        <f>SUM(N62:N65)</f>
        <v>108113</v>
      </c>
      <c r="P65" s="41"/>
    </row>
    <row r="66" spans="1:18" ht="15" thickBot="1">
      <c r="C66" s="396">
        <f>SUM(C56:C65)</f>
        <v>68699.25</v>
      </c>
      <c r="D66" s="594" t="s">
        <v>388</v>
      </c>
      <c r="E66" s="521">
        <f>E61+E60+E62+E63+E56+E64</f>
        <v>160148</v>
      </c>
      <c r="F66" s="522">
        <f>F61+F60+F62+F63+F56+F64+F57</f>
        <v>171937</v>
      </c>
      <c r="G66" s="521">
        <f>G61+G60+G62+G63+G56+G64+G58+G57+G23</f>
        <v>40951.599999999999</v>
      </c>
      <c r="H66" s="89">
        <f t="shared" si="15"/>
        <v>130985.4</v>
      </c>
      <c r="I66" s="108">
        <f t="shared" si="16"/>
        <v>25.57</v>
      </c>
      <c r="J66" s="641">
        <f>J61+J60+J62+J63+J56+J64+J58+J57</f>
        <v>53724.78</v>
      </c>
      <c r="K66" s="44"/>
      <c r="L66" s="736"/>
      <c r="M66" s="775" t="s">
        <v>69</v>
      </c>
      <c r="N66" s="430">
        <f>N14+N15</f>
        <v>56696</v>
      </c>
      <c r="O66" s="744"/>
      <c r="P66" s="37"/>
    </row>
    <row r="67" spans="1:18" ht="15" thickBot="1">
      <c r="C67" s="397"/>
      <c r="D67" s="594" t="s">
        <v>65</v>
      </c>
      <c r="E67" s="521">
        <f>E61+E60+E62+E63+E64</f>
        <v>101324</v>
      </c>
      <c r="F67" s="522">
        <f>SUM(F60:F65)</f>
        <v>108550</v>
      </c>
      <c r="G67" s="521">
        <f>SUM(G60:G65)</f>
        <v>17.82</v>
      </c>
      <c r="H67" s="412"/>
      <c r="I67" s="413"/>
      <c r="J67" s="414"/>
      <c r="K67" s="415"/>
      <c r="L67" s="738"/>
      <c r="M67" s="779" t="s">
        <v>226</v>
      </c>
      <c r="N67" s="780">
        <f>N63+N62+N64+N65+N59+N61</f>
        <v>120496</v>
      </c>
      <c r="O67" s="781"/>
      <c r="P67" s="41"/>
    </row>
    <row r="68" spans="1:18" s="150" customFormat="1" ht="21.75" customHeight="1">
      <c r="A68" s="574"/>
      <c r="D68" s="595"/>
      <c r="E68" s="151">
        <f>G65-G20+Payments!N219</f>
        <v>-8964.2199999999993</v>
      </c>
      <c r="F68" s="181"/>
      <c r="G68" s="37">
        <f>SUM(G59:G59)</f>
        <v>0</v>
      </c>
      <c r="H68" s="856" t="s">
        <v>227</v>
      </c>
      <c r="I68" s="856"/>
      <c r="J68" s="152">
        <f>J17-J65</f>
        <v>184234.43</v>
      </c>
      <c r="K68" s="153" t="s">
        <v>228</v>
      </c>
      <c r="L68" s="151"/>
      <c r="M68" s="782"/>
      <c r="N68" s="399">
        <f>SUM(N66:N67)</f>
        <v>177192</v>
      </c>
      <c r="O68" s="784"/>
      <c r="P68" s="784"/>
      <c r="R68" s="715"/>
    </row>
    <row r="69" spans="1:18" s="150" customFormat="1">
      <c r="A69" s="574"/>
      <c r="D69" s="595"/>
      <c r="E69" s="151"/>
      <c r="F69" s="181"/>
      <c r="G69" s="37"/>
      <c r="H69" s="847" t="s">
        <v>211</v>
      </c>
      <c r="I69" s="847"/>
      <c r="J69" s="37">
        <f>Balances!C15</f>
        <v>141210.76999999999</v>
      </c>
      <c r="K69" s="37"/>
      <c r="L69" s="37"/>
      <c r="M69" s="783" t="s">
        <v>10</v>
      </c>
      <c r="N69" s="785"/>
      <c r="O69" s="786"/>
      <c r="P69" s="784"/>
      <c r="R69" s="715"/>
    </row>
    <row r="70" spans="1:18" s="150" customFormat="1">
      <c r="A70" s="574"/>
      <c r="D70" s="595"/>
      <c r="E70" s="151"/>
      <c r="F70" s="181"/>
      <c r="G70" s="37"/>
      <c r="H70" s="847" t="s">
        <v>212</v>
      </c>
      <c r="I70" s="847"/>
      <c r="J70" s="37">
        <f>J17-G17-J16</f>
        <v>-604.12</v>
      </c>
      <c r="K70" s="37"/>
      <c r="L70" s="37"/>
      <c r="M70" s="784"/>
      <c r="N70" s="154">
        <f>SUM(N67:N69)</f>
        <v>297688</v>
      </c>
      <c r="O70" s="151"/>
      <c r="P70" s="151"/>
      <c r="R70" s="715"/>
    </row>
    <row r="71" spans="1:18" s="150" customFormat="1" ht="15" customHeight="1">
      <c r="A71" s="574"/>
      <c r="D71" s="595"/>
      <c r="E71" s="151"/>
      <c r="F71" s="181"/>
      <c r="G71" s="489" t="s">
        <v>214</v>
      </c>
      <c r="H71" s="847" t="s">
        <v>213</v>
      </c>
      <c r="I71" s="847"/>
      <c r="J71" s="37">
        <f>J56-G56-J28</f>
        <v>24955.52</v>
      </c>
      <c r="K71" s="37"/>
      <c r="L71" s="37"/>
      <c r="M71" s="37"/>
      <c r="N71" s="154" t="s">
        <v>278</v>
      </c>
      <c r="O71" s="151"/>
      <c r="P71" s="151"/>
      <c r="R71" s="715"/>
    </row>
    <row r="72" spans="1:18" s="150" customFormat="1">
      <c r="A72" s="574"/>
      <c r="D72" s="595"/>
      <c r="E72" s="151"/>
      <c r="F72" s="181"/>
      <c r="G72" s="37"/>
      <c r="H72" s="489"/>
      <c r="I72" s="489"/>
      <c r="J72" s="173">
        <f>J69+J70-J71</f>
        <v>115651.13</v>
      </c>
      <c r="K72" s="174" t="s">
        <v>574</v>
      </c>
      <c r="L72" s="37"/>
      <c r="M72" s="37"/>
      <c r="N72" s="154"/>
      <c r="O72" s="151"/>
      <c r="P72" s="151"/>
      <c r="R72" s="715"/>
    </row>
    <row r="73" spans="1:18" s="150" customFormat="1">
      <c r="A73" s="574"/>
      <c r="D73" s="595"/>
      <c r="E73" s="151"/>
      <c r="F73" s="181"/>
      <c r="G73" s="37"/>
      <c r="H73" s="37"/>
      <c r="I73" s="37"/>
      <c r="J73" s="37"/>
      <c r="K73" s="37"/>
      <c r="L73" s="37"/>
      <c r="M73" s="37"/>
      <c r="N73" s="400">
        <f>N66-N17</f>
        <v>-115651</v>
      </c>
      <c r="O73" s="151"/>
      <c r="P73" s="151"/>
      <c r="R73" s="715"/>
    </row>
    <row r="74" spans="1:18">
      <c r="D74" s="596"/>
      <c r="G74" s="37"/>
      <c r="H74" s="37"/>
      <c r="I74" s="37"/>
      <c r="J74" s="37"/>
      <c r="K74" s="37"/>
      <c r="L74" s="37"/>
      <c r="M74" s="37"/>
      <c r="N74" s="154"/>
      <c r="O74" s="39"/>
      <c r="P74" s="37"/>
    </row>
    <row r="75" spans="1:18">
      <c r="D75" s="596" t="s">
        <v>12</v>
      </c>
      <c r="E75" s="39">
        <f>E67+E56</f>
        <v>160148</v>
      </c>
      <c r="F75" s="642">
        <f>F66-F17</f>
        <v>-110</v>
      </c>
      <c r="G75" s="37">
        <f>Payments!N219</f>
        <v>2566.04</v>
      </c>
      <c r="H75" s="37"/>
      <c r="I75" s="37"/>
      <c r="J75" s="37"/>
      <c r="K75" s="37"/>
      <c r="L75" s="37"/>
      <c r="M75" s="37"/>
      <c r="N75" s="640">
        <f>N67+N66</f>
        <v>177192</v>
      </c>
      <c r="O75" s="39"/>
      <c r="P75" s="37"/>
    </row>
    <row r="76" spans="1:18">
      <c r="D76" s="596"/>
      <c r="E76" s="136"/>
      <c r="G76" s="22">
        <f>G66+G75</f>
        <v>43517.64</v>
      </c>
      <c r="H76" s="37"/>
      <c r="I76" s="37"/>
      <c r="J76" s="37"/>
      <c r="K76" s="37"/>
      <c r="L76" s="37"/>
      <c r="M76" s="37"/>
      <c r="O76" s="39"/>
      <c r="P76" s="37"/>
    </row>
    <row r="77" spans="1:18">
      <c r="D77" s="596"/>
      <c r="F77" s="181" t="s">
        <v>284</v>
      </c>
      <c r="G77" s="37">
        <f>Payments!C219-(G75+G66)</f>
        <v>-0.1</v>
      </c>
      <c r="H77" s="37"/>
      <c r="I77" s="37"/>
      <c r="J77" s="37"/>
      <c r="K77" s="37"/>
      <c r="L77" s="37"/>
      <c r="M77" s="37"/>
      <c r="O77" s="39"/>
      <c r="P77" s="37"/>
    </row>
    <row r="78" spans="1:18">
      <c r="D78" s="596"/>
      <c r="G78" s="37"/>
      <c r="H78" s="37"/>
      <c r="I78" s="37"/>
      <c r="J78" s="37"/>
      <c r="K78" s="37"/>
      <c r="L78" s="37"/>
      <c r="M78" s="37"/>
      <c r="O78" s="39"/>
    </row>
    <row r="79" spans="1:18">
      <c r="D79" s="596"/>
      <c r="G79" s="37"/>
      <c r="H79" s="847" t="s">
        <v>211</v>
      </c>
      <c r="I79" s="847"/>
      <c r="J79" s="37">
        <f>Balances!F12</f>
        <v>141210.76999999999</v>
      </c>
      <c r="K79" s="37"/>
      <c r="L79" s="37"/>
      <c r="M79" s="111"/>
      <c r="N79" s="39"/>
      <c r="O79" s="37"/>
    </row>
    <row r="80" spans="1:18">
      <c r="D80" s="596"/>
      <c r="G80" s="491"/>
      <c r="H80" s="847" t="s">
        <v>395</v>
      </c>
      <c r="I80" s="847"/>
      <c r="J80" s="37">
        <f>J70</f>
        <v>-604.12</v>
      </c>
      <c r="K80" s="37"/>
      <c r="L80" s="37"/>
      <c r="M80" s="111"/>
      <c r="N80" s="39"/>
      <c r="O80" s="37"/>
    </row>
    <row r="81" spans="4:15">
      <c r="D81" s="596"/>
      <c r="G81" s="492"/>
      <c r="H81" s="847" t="s">
        <v>396</v>
      </c>
      <c r="I81" s="847"/>
      <c r="J81" s="37">
        <f>J56-G56</f>
        <v>24955.52</v>
      </c>
      <c r="K81" s="37"/>
      <c r="L81" s="37"/>
      <c r="M81" s="111"/>
      <c r="N81" s="39"/>
      <c r="O81" s="37"/>
    </row>
    <row r="82" spans="4:15">
      <c r="D82" s="596"/>
      <c r="G82" s="491"/>
      <c r="H82" s="848" t="s">
        <v>397</v>
      </c>
      <c r="I82" s="848"/>
      <c r="J82" s="136">
        <f>J79+J80-J81</f>
        <v>115651.13</v>
      </c>
      <c r="K82" s="37"/>
      <c r="L82" s="37"/>
      <c r="M82" s="111"/>
      <c r="N82" s="39"/>
      <c r="O82" s="37"/>
    </row>
    <row r="83" spans="4:15">
      <c r="D83" s="596"/>
      <c r="G83" s="728">
        <f>G66-Payments!M219</f>
        <v>0</v>
      </c>
      <c r="H83" s="37"/>
      <c r="I83" s="37"/>
      <c r="J83" s="37"/>
      <c r="K83" s="37"/>
      <c r="L83" s="37"/>
      <c r="M83" s="111"/>
      <c r="N83" s="39"/>
      <c r="O83" s="37"/>
    </row>
    <row r="84" spans="4:15">
      <c r="D84" s="596"/>
      <c r="F84" s="642"/>
      <c r="H84" s="37"/>
      <c r="I84" s="37"/>
      <c r="J84" s="37"/>
      <c r="K84" s="37"/>
      <c r="L84" s="37"/>
      <c r="M84" s="111"/>
      <c r="N84" s="39"/>
      <c r="O84" s="37"/>
    </row>
    <row r="85" spans="4:15">
      <c r="D85" s="596"/>
      <c r="G85" s="728"/>
      <c r="H85" s="37"/>
      <c r="I85" s="37"/>
      <c r="J85" s="37"/>
      <c r="K85" s="37"/>
      <c r="L85" s="37"/>
      <c r="M85" s="111"/>
      <c r="N85" s="39"/>
      <c r="O85" s="37"/>
    </row>
    <row r="86" spans="4:15">
      <c r="D86" s="596"/>
      <c r="G86" s="491"/>
      <c r="H86" s="37"/>
      <c r="I86" s="37"/>
      <c r="J86" s="37"/>
      <c r="K86" s="37"/>
      <c r="L86" s="37"/>
      <c r="M86" s="111"/>
      <c r="N86" s="39"/>
      <c r="O86" s="37"/>
    </row>
    <row r="87" spans="4:15">
      <c r="D87" s="596"/>
      <c r="G87" s="37"/>
      <c r="H87" s="37"/>
      <c r="I87" s="37"/>
      <c r="J87" s="37"/>
      <c r="K87" s="37"/>
      <c r="L87" s="37"/>
      <c r="M87" s="111"/>
      <c r="N87" s="39"/>
      <c r="O87" s="37"/>
    </row>
    <row r="88" spans="4:15">
      <c r="D88" s="596"/>
      <c r="G88" s="37"/>
      <c r="H88" s="37"/>
      <c r="I88" s="37"/>
      <c r="J88" s="37"/>
      <c r="K88" s="37"/>
      <c r="L88" s="37"/>
      <c r="M88" s="111"/>
      <c r="N88" s="39"/>
      <c r="O88" s="37"/>
    </row>
    <row r="89" spans="4:15">
      <c r="D89" s="596"/>
      <c r="G89" s="37"/>
      <c r="H89" s="37"/>
      <c r="I89" s="37"/>
      <c r="J89" s="37"/>
      <c r="K89" s="37"/>
      <c r="L89" s="37"/>
      <c r="M89" s="111"/>
      <c r="N89" s="39"/>
      <c r="O89" s="37"/>
    </row>
    <row r="90" spans="4:15">
      <c r="D90" s="596"/>
      <c r="G90" s="37"/>
      <c r="H90" s="37"/>
      <c r="I90" s="37"/>
      <c r="J90" s="37"/>
      <c r="K90" s="37"/>
      <c r="L90" s="37"/>
      <c r="M90" s="111"/>
      <c r="N90" s="39"/>
      <c r="O90" s="37"/>
    </row>
    <row r="91" spans="4:15">
      <c r="D91" s="596"/>
      <c r="G91" s="37"/>
      <c r="H91" s="37"/>
      <c r="I91" s="37"/>
      <c r="J91" s="37"/>
      <c r="K91" s="37"/>
      <c r="L91" s="37"/>
      <c r="M91" s="111"/>
      <c r="N91" s="39"/>
      <c r="O91" s="37"/>
    </row>
    <row r="92" spans="4:15">
      <c r="D92" s="596"/>
      <c r="G92" s="37"/>
      <c r="H92" s="37"/>
      <c r="I92" s="37"/>
      <c r="J92" s="37"/>
      <c r="K92" s="37"/>
      <c r="L92" s="37"/>
      <c r="M92" s="111"/>
      <c r="N92" s="39"/>
      <c r="O92" s="37"/>
    </row>
    <row r="93" spans="4:15">
      <c r="D93" s="596"/>
      <c r="G93" s="37"/>
      <c r="H93" s="37"/>
      <c r="I93" s="37"/>
      <c r="J93" s="37"/>
      <c r="K93" s="37"/>
      <c r="L93" s="37"/>
      <c r="M93" s="111"/>
      <c r="N93" s="39"/>
      <c r="O93" s="37"/>
    </row>
    <row r="94" spans="4:15">
      <c r="D94" s="596"/>
      <c r="G94" s="37"/>
      <c r="H94" s="37"/>
      <c r="I94" s="37"/>
      <c r="J94" s="37"/>
      <c r="K94" s="37"/>
      <c r="L94" s="37"/>
      <c r="M94" s="111"/>
      <c r="N94" s="39"/>
      <c r="O94" s="37"/>
    </row>
    <row r="95" spans="4:15">
      <c r="D95" s="596"/>
      <c r="G95" s="37"/>
      <c r="H95" s="37"/>
      <c r="I95" s="37"/>
      <c r="J95" s="37"/>
      <c r="K95" s="37"/>
      <c r="L95" s="37"/>
      <c r="M95" s="111"/>
      <c r="N95" s="39"/>
      <c r="O95" s="37"/>
    </row>
    <row r="96" spans="4:15">
      <c r="D96" s="596"/>
      <c r="G96" s="37"/>
      <c r="H96" s="37"/>
      <c r="I96" s="37"/>
      <c r="J96" s="37"/>
      <c r="K96" s="37"/>
      <c r="L96" s="37"/>
      <c r="M96" s="111"/>
      <c r="N96" s="39"/>
      <c r="O96" s="37"/>
    </row>
    <row r="97" spans="4:16">
      <c r="D97" s="596"/>
      <c r="G97" s="37"/>
      <c r="H97" s="37"/>
      <c r="I97" s="37"/>
      <c r="J97" s="37"/>
      <c r="K97" s="37"/>
      <c r="L97" s="37"/>
      <c r="M97" s="111"/>
      <c r="N97" s="39"/>
      <c r="O97" s="37"/>
    </row>
    <row r="98" spans="4:16">
      <c r="D98" s="596"/>
      <c r="G98" s="37"/>
      <c r="H98" s="37"/>
      <c r="I98" s="37"/>
      <c r="J98" s="37"/>
      <c r="K98" s="37"/>
      <c r="L98" s="37"/>
      <c r="M98" s="111"/>
      <c r="N98" s="39"/>
      <c r="O98" s="37"/>
    </row>
    <row r="99" spans="4:16">
      <c r="D99" s="596"/>
      <c r="G99" s="37"/>
      <c r="H99" s="37"/>
      <c r="I99" s="37"/>
      <c r="J99" s="37"/>
      <c r="K99" s="37"/>
      <c r="L99" s="37"/>
      <c r="M99" s="111"/>
      <c r="N99" s="39"/>
      <c r="O99" s="37"/>
    </row>
    <row r="100" spans="4:16">
      <c r="D100" s="596"/>
      <c r="G100" s="37"/>
      <c r="H100" s="37"/>
      <c r="I100" s="37"/>
      <c r="J100" s="37"/>
      <c r="K100" s="37"/>
      <c r="L100" s="37"/>
      <c r="M100" s="111"/>
      <c r="N100" s="39"/>
      <c r="O100" s="37"/>
    </row>
    <row r="101" spans="4:16">
      <c r="D101" s="596"/>
      <c r="G101" s="37"/>
      <c r="H101" s="37"/>
      <c r="I101" s="37"/>
      <c r="J101" s="37"/>
      <c r="K101" s="37"/>
      <c r="L101" s="37"/>
      <c r="M101" s="111"/>
      <c r="N101" s="39"/>
      <c r="O101" s="37"/>
    </row>
    <row r="102" spans="4:16">
      <c r="D102" s="596"/>
      <c r="G102" s="37"/>
      <c r="H102" s="37"/>
      <c r="I102" s="37"/>
      <c r="J102" s="37"/>
      <c r="K102" s="37"/>
      <c r="L102" s="37"/>
      <c r="M102" s="111"/>
      <c r="N102" s="39"/>
      <c r="O102" s="37"/>
    </row>
    <row r="103" spans="4:16">
      <c r="D103" s="596"/>
      <c r="G103" s="37"/>
      <c r="H103" s="37"/>
      <c r="I103" s="37"/>
      <c r="J103" s="37"/>
      <c r="K103" s="37"/>
      <c r="L103" s="37"/>
      <c r="M103" s="111"/>
      <c r="N103" s="39"/>
      <c r="O103" s="37"/>
    </row>
    <row r="104" spans="4:16">
      <c r="D104" s="596"/>
      <c r="G104" s="37"/>
      <c r="H104" s="37"/>
      <c r="I104" s="37"/>
      <c r="J104" s="37"/>
      <c r="K104" s="37"/>
      <c r="L104" s="37"/>
      <c r="M104" s="111"/>
      <c r="N104" s="39"/>
      <c r="O104" s="37"/>
    </row>
    <row r="105" spans="4:16">
      <c r="D105" s="596"/>
      <c r="G105" s="37"/>
      <c r="H105" s="37"/>
      <c r="I105" s="37"/>
      <c r="J105" s="37"/>
      <c r="K105" s="37"/>
      <c r="L105" s="37"/>
      <c r="M105" s="111"/>
      <c r="N105" s="39"/>
      <c r="O105" s="37"/>
    </row>
    <row r="106" spans="4:16">
      <c r="D106" s="596"/>
      <c r="G106" s="37"/>
      <c r="H106" s="37"/>
      <c r="I106" s="37"/>
      <c r="J106" s="37"/>
      <c r="K106" s="37"/>
      <c r="L106" s="37"/>
      <c r="M106" s="111"/>
      <c r="N106" s="39"/>
      <c r="O106" s="37"/>
    </row>
    <row r="107" spans="4:16">
      <c r="D107" s="596"/>
      <c r="G107" s="37"/>
      <c r="H107" s="37"/>
      <c r="I107" s="37"/>
      <c r="J107" s="37"/>
      <c r="K107" s="37"/>
      <c r="L107" s="37"/>
      <c r="M107" s="111"/>
      <c r="N107" s="39"/>
      <c r="O107" s="37"/>
    </row>
    <row r="108" spans="4:16">
      <c r="D108" s="596"/>
      <c r="G108" s="37"/>
      <c r="H108" s="37"/>
      <c r="I108" s="37"/>
      <c r="J108" s="37"/>
      <c r="K108" s="37"/>
      <c r="L108" s="37"/>
      <c r="M108" s="111"/>
      <c r="N108" s="39"/>
      <c r="O108" s="37"/>
    </row>
    <row r="109" spans="4:16">
      <c r="D109" s="596"/>
      <c r="G109" s="37"/>
      <c r="H109" s="37"/>
      <c r="I109" s="37"/>
      <c r="J109" s="37"/>
      <c r="K109" s="37"/>
      <c r="L109" s="37"/>
      <c r="M109" s="111"/>
      <c r="N109" s="39"/>
      <c r="O109" s="37"/>
    </row>
    <row r="110" spans="4:16">
      <c r="D110" s="596"/>
      <c r="G110" s="37"/>
      <c r="H110" s="37"/>
      <c r="I110" s="37"/>
      <c r="J110" s="37"/>
      <c r="K110" s="37"/>
      <c r="L110" s="37"/>
      <c r="M110" s="111"/>
      <c r="N110" s="39"/>
      <c r="O110" s="37"/>
    </row>
    <row r="111" spans="4:16">
      <c r="D111" s="596"/>
      <c r="G111" s="37"/>
      <c r="H111" s="37"/>
      <c r="I111" s="37"/>
      <c r="J111" s="37"/>
      <c r="K111" s="37"/>
      <c r="L111" s="37"/>
      <c r="M111" s="111"/>
      <c r="N111" s="39"/>
      <c r="O111" s="37"/>
      <c r="P111" s="37"/>
    </row>
    <row r="112" spans="4:16">
      <c r="D112" s="596"/>
      <c r="G112" s="37"/>
      <c r="H112" s="37"/>
      <c r="I112" s="37"/>
      <c r="J112" s="37"/>
      <c r="K112" s="37"/>
      <c r="L112" s="37"/>
      <c r="M112" s="37"/>
      <c r="O112" s="39"/>
      <c r="P112" s="37"/>
    </row>
    <row r="113" spans="4:16">
      <c r="D113" s="596"/>
      <c r="G113" s="37"/>
      <c r="H113" s="37"/>
      <c r="I113" s="37"/>
      <c r="J113" s="37"/>
      <c r="K113" s="37"/>
      <c r="L113" s="37"/>
      <c r="M113" s="37"/>
      <c r="O113" s="39"/>
      <c r="P113" s="37"/>
    </row>
    <row r="114" spans="4:16">
      <c r="D114" s="596"/>
      <c r="G114" s="37"/>
      <c r="H114" s="37"/>
      <c r="I114" s="37"/>
      <c r="J114" s="37"/>
      <c r="K114" s="37"/>
      <c r="L114" s="37"/>
      <c r="M114" s="37"/>
      <c r="O114" s="39"/>
      <c r="P114" s="37"/>
    </row>
    <row r="115" spans="4:16">
      <c r="D115" s="596"/>
      <c r="G115" s="37"/>
      <c r="H115" s="37"/>
      <c r="I115" s="37"/>
      <c r="J115" s="37"/>
      <c r="K115" s="37"/>
      <c r="L115" s="37"/>
      <c r="M115" s="37"/>
      <c r="O115" s="39"/>
      <c r="P115" s="37"/>
    </row>
    <row r="116" spans="4:16">
      <c r="D116" s="596"/>
      <c r="G116" s="37"/>
      <c r="H116" s="37"/>
      <c r="I116" s="37"/>
      <c r="J116" s="37"/>
      <c r="K116" s="37"/>
      <c r="L116" s="37"/>
      <c r="M116" s="37"/>
      <c r="O116" s="39"/>
      <c r="P116" s="37"/>
    </row>
    <row r="117" spans="4:16">
      <c r="D117" s="596"/>
      <c r="G117" s="37"/>
      <c r="H117" s="37"/>
      <c r="I117" s="37"/>
      <c r="J117" s="37"/>
      <c r="K117" s="37"/>
      <c r="L117" s="37"/>
      <c r="M117" s="37"/>
      <c r="O117" s="39"/>
      <c r="P117" s="37"/>
    </row>
    <row r="118" spans="4:16">
      <c r="D118" s="596"/>
      <c r="G118" s="37"/>
      <c r="H118" s="37"/>
      <c r="I118" s="37"/>
      <c r="J118" s="37"/>
      <c r="K118" s="37"/>
      <c r="L118" s="37"/>
      <c r="M118" s="37"/>
      <c r="O118" s="39"/>
      <c r="P118" s="37"/>
    </row>
    <row r="119" spans="4:16">
      <c r="D119" s="596"/>
      <c r="G119" s="37"/>
      <c r="H119" s="37"/>
      <c r="I119" s="37"/>
      <c r="J119" s="37"/>
      <c r="K119" s="37"/>
      <c r="L119" s="37"/>
      <c r="M119" s="37"/>
      <c r="O119" s="39"/>
      <c r="P119" s="37"/>
    </row>
    <row r="120" spans="4:16">
      <c r="D120" s="596"/>
      <c r="G120" s="37"/>
      <c r="H120" s="37"/>
      <c r="I120" s="37"/>
      <c r="J120" s="37"/>
      <c r="K120" s="37"/>
      <c r="L120" s="37"/>
      <c r="M120" s="37"/>
      <c r="O120" s="39"/>
      <c r="P120" s="37"/>
    </row>
    <row r="121" spans="4:16">
      <c r="D121" s="596"/>
      <c r="G121" s="37"/>
      <c r="H121" s="37"/>
      <c r="I121" s="37"/>
      <c r="J121" s="37"/>
      <c r="K121" s="37"/>
      <c r="L121" s="37"/>
      <c r="M121" s="37"/>
      <c r="O121" s="39"/>
      <c r="P121" s="37"/>
    </row>
    <row r="122" spans="4:16">
      <c r="D122" s="596"/>
      <c r="G122" s="37"/>
      <c r="H122" s="37"/>
      <c r="I122" s="37"/>
      <c r="J122" s="37"/>
      <c r="K122" s="37"/>
      <c r="L122" s="37"/>
      <c r="M122" s="37"/>
      <c r="O122" s="39"/>
      <c r="P122" s="37"/>
    </row>
    <row r="123" spans="4:16">
      <c r="D123" s="596"/>
      <c r="G123" s="37"/>
      <c r="H123" s="37"/>
      <c r="I123" s="37"/>
      <c r="J123" s="37"/>
      <c r="K123" s="37"/>
      <c r="L123" s="37"/>
      <c r="M123" s="37"/>
      <c r="O123" s="39"/>
      <c r="P123" s="37"/>
    </row>
    <row r="124" spans="4:16">
      <c r="D124" s="596"/>
      <c r="G124" s="37"/>
      <c r="H124" s="37"/>
      <c r="I124" s="37"/>
      <c r="J124" s="37"/>
      <c r="K124" s="37"/>
      <c r="L124" s="37"/>
      <c r="M124" s="37"/>
      <c r="O124" s="39"/>
      <c r="P124" s="37"/>
    </row>
    <row r="125" spans="4:16">
      <c r="D125" s="596"/>
      <c r="G125" s="37"/>
      <c r="H125" s="37"/>
      <c r="I125" s="37"/>
      <c r="J125" s="37"/>
      <c r="K125" s="37"/>
      <c r="L125" s="37"/>
      <c r="M125" s="37"/>
      <c r="O125" s="39"/>
      <c r="P125" s="37"/>
    </row>
    <row r="126" spans="4:16">
      <c r="D126" s="596"/>
      <c r="G126" s="37"/>
      <c r="H126" s="37"/>
      <c r="I126" s="37"/>
      <c r="J126" s="37"/>
      <c r="K126" s="37"/>
      <c r="L126" s="37"/>
      <c r="M126" s="37"/>
      <c r="O126" s="39"/>
      <c r="P126" s="37"/>
    </row>
    <row r="127" spans="4:16">
      <c r="D127" s="596"/>
      <c r="G127" s="37"/>
      <c r="H127" s="37"/>
      <c r="I127" s="37"/>
      <c r="J127" s="37"/>
      <c r="K127" s="37"/>
      <c r="L127" s="37"/>
      <c r="M127" s="37"/>
      <c r="O127" s="39"/>
      <c r="P127" s="37"/>
    </row>
    <row r="128" spans="4:16">
      <c r="D128" s="596"/>
      <c r="G128" s="37"/>
      <c r="H128" s="37"/>
      <c r="I128" s="37"/>
      <c r="J128" s="37"/>
      <c r="K128" s="37"/>
      <c r="L128" s="37"/>
      <c r="M128" s="37"/>
      <c r="O128" s="39"/>
      <c r="P128" s="37"/>
    </row>
    <row r="129" spans="4:16">
      <c r="D129" s="596"/>
      <c r="G129" s="37"/>
      <c r="H129" s="37"/>
      <c r="I129" s="37"/>
      <c r="J129" s="37"/>
      <c r="K129" s="37"/>
      <c r="L129" s="37"/>
      <c r="M129" s="37"/>
      <c r="O129" s="39"/>
      <c r="P129" s="37"/>
    </row>
    <row r="130" spans="4:16">
      <c r="D130" s="596"/>
      <c r="G130" s="37"/>
      <c r="H130" s="37"/>
      <c r="I130" s="37"/>
      <c r="J130" s="37"/>
      <c r="K130" s="37"/>
      <c r="L130" s="37"/>
      <c r="M130" s="37"/>
      <c r="O130" s="39"/>
      <c r="P130" s="37"/>
    </row>
    <row r="131" spans="4:16">
      <c r="D131" s="596"/>
      <c r="G131" s="37"/>
      <c r="H131" s="37"/>
      <c r="I131" s="37"/>
      <c r="J131" s="37"/>
      <c r="K131" s="37"/>
      <c r="L131" s="37"/>
      <c r="M131" s="37"/>
      <c r="O131" s="39"/>
      <c r="P131" s="37"/>
    </row>
    <row r="132" spans="4:16">
      <c r="D132" s="596"/>
      <c r="G132" s="37"/>
      <c r="H132" s="37"/>
      <c r="I132" s="37"/>
      <c r="J132" s="37"/>
      <c r="K132" s="37"/>
      <c r="L132" s="37"/>
      <c r="M132" s="37"/>
      <c r="O132" s="39"/>
      <c r="P132" s="37"/>
    </row>
    <row r="133" spans="4:16">
      <c r="D133" s="596"/>
      <c r="G133" s="37"/>
      <c r="H133" s="37"/>
      <c r="I133" s="37"/>
      <c r="J133" s="37"/>
      <c r="K133" s="37"/>
      <c r="L133" s="37"/>
      <c r="M133" s="37"/>
      <c r="O133" s="39"/>
      <c r="P133" s="37"/>
    </row>
    <row r="134" spans="4:16">
      <c r="D134" s="596"/>
      <c r="G134" s="37"/>
      <c r="H134" s="37"/>
      <c r="I134" s="37"/>
      <c r="J134" s="37"/>
      <c r="K134" s="37"/>
      <c r="L134" s="37"/>
      <c r="M134" s="37"/>
      <c r="O134" s="39"/>
      <c r="P134" s="37"/>
    </row>
    <row r="135" spans="4:16">
      <c r="D135" s="596"/>
      <c r="G135" s="37"/>
      <c r="H135" s="37"/>
      <c r="I135" s="37"/>
      <c r="J135" s="37"/>
      <c r="K135" s="37"/>
      <c r="L135" s="37"/>
      <c r="M135" s="37"/>
      <c r="O135" s="39"/>
      <c r="P135" s="37"/>
    </row>
    <row r="136" spans="4:16">
      <c r="D136" s="596"/>
      <c r="G136" s="37"/>
      <c r="H136" s="37"/>
      <c r="I136" s="37"/>
      <c r="J136" s="37"/>
      <c r="K136" s="37"/>
      <c r="L136" s="37"/>
      <c r="M136" s="37"/>
      <c r="O136" s="39"/>
      <c r="P136" s="37"/>
    </row>
    <row r="137" spans="4:16">
      <c r="D137" s="596"/>
      <c r="G137" s="37"/>
      <c r="H137" s="37"/>
      <c r="I137" s="37"/>
      <c r="J137" s="37"/>
      <c r="K137" s="37"/>
      <c r="L137" s="37"/>
      <c r="M137" s="37"/>
      <c r="O137" s="39"/>
      <c r="P137" s="37"/>
    </row>
    <row r="138" spans="4:16">
      <c r="D138" s="596"/>
      <c r="G138" s="37"/>
      <c r="H138" s="37"/>
      <c r="I138" s="37"/>
      <c r="J138" s="37"/>
      <c r="K138" s="37"/>
      <c r="L138" s="37"/>
      <c r="M138" s="37"/>
      <c r="O138" s="39"/>
      <c r="P138" s="37"/>
    </row>
    <row r="139" spans="4:16">
      <c r="D139" s="596"/>
      <c r="G139" s="37"/>
      <c r="H139" s="37"/>
      <c r="I139" s="37"/>
      <c r="J139" s="37"/>
      <c r="K139" s="37"/>
      <c r="L139" s="37"/>
      <c r="M139" s="37"/>
      <c r="O139" s="39"/>
      <c r="P139" s="37"/>
    </row>
    <row r="140" spans="4:16">
      <c r="D140" s="596"/>
      <c r="G140" s="37"/>
      <c r="H140" s="37"/>
      <c r="I140" s="37"/>
      <c r="J140" s="37"/>
      <c r="K140" s="37"/>
      <c r="L140" s="37"/>
      <c r="M140" s="37"/>
      <c r="O140" s="39"/>
      <c r="P140" s="37"/>
    </row>
    <row r="141" spans="4:16">
      <c r="D141" s="596"/>
      <c r="G141" s="37"/>
      <c r="H141" s="37"/>
      <c r="I141" s="37"/>
      <c r="J141" s="37"/>
      <c r="K141" s="37"/>
      <c r="L141" s="37"/>
      <c r="M141" s="37"/>
      <c r="O141" s="39"/>
      <c r="P141" s="37"/>
    </row>
    <row r="142" spans="4:16">
      <c r="D142" s="596"/>
      <c r="G142" s="37"/>
      <c r="H142" s="37"/>
      <c r="I142" s="37"/>
      <c r="J142" s="37"/>
      <c r="K142" s="37"/>
      <c r="L142" s="37"/>
      <c r="M142" s="37"/>
      <c r="O142" s="39"/>
      <c r="P142" s="37"/>
    </row>
    <row r="143" spans="4:16">
      <c r="D143" s="596"/>
      <c r="G143" s="37"/>
      <c r="H143" s="37"/>
      <c r="I143" s="37"/>
      <c r="J143" s="37"/>
      <c r="K143" s="37"/>
      <c r="L143" s="37"/>
      <c r="M143" s="37"/>
      <c r="O143" s="39"/>
      <c r="P143" s="37"/>
    </row>
    <row r="144" spans="4:16">
      <c r="D144" s="596"/>
      <c r="G144" s="37"/>
      <c r="H144" s="37"/>
      <c r="I144" s="37"/>
      <c r="J144" s="37"/>
      <c r="K144" s="37"/>
      <c r="L144" s="37"/>
      <c r="M144" s="37"/>
      <c r="O144" s="39"/>
      <c r="P144" s="37"/>
    </row>
    <row r="145" spans="4:16">
      <c r="D145" s="596"/>
      <c r="G145" s="37"/>
      <c r="H145" s="37"/>
      <c r="I145" s="37"/>
      <c r="J145" s="37"/>
      <c r="K145" s="37"/>
      <c r="L145" s="37"/>
      <c r="M145" s="37"/>
      <c r="O145" s="39"/>
      <c r="P145" s="37"/>
    </row>
    <row r="146" spans="4:16">
      <c r="D146" s="596"/>
      <c r="G146" s="37"/>
      <c r="H146" s="37"/>
      <c r="I146" s="37"/>
      <c r="J146" s="37"/>
      <c r="K146" s="37"/>
      <c r="L146" s="37"/>
      <c r="M146" s="37"/>
      <c r="O146" s="39"/>
      <c r="P146" s="37"/>
    </row>
    <row r="147" spans="4:16">
      <c r="D147" s="596"/>
      <c r="G147" s="37"/>
      <c r="H147" s="37"/>
      <c r="I147" s="37"/>
      <c r="J147" s="37"/>
      <c r="K147" s="37"/>
      <c r="L147" s="37"/>
      <c r="M147" s="37"/>
      <c r="O147" s="39"/>
      <c r="P147" s="37"/>
    </row>
    <row r="148" spans="4:16">
      <c r="D148" s="596"/>
      <c r="G148" s="37"/>
      <c r="H148" s="37"/>
      <c r="I148" s="37"/>
      <c r="J148" s="37"/>
      <c r="K148" s="37"/>
      <c r="L148" s="37"/>
      <c r="M148" s="37"/>
      <c r="O148" s="39"/>
      <c r="P148" s="37"/>
    </row>
    <row r="149" spans="4:16">
      <c r="D149" s="596"/>
      <c r="G149" s="37"/>
      <c r="H149" s="37"/>
      <c r="I149" s="37"/>
      <c r="J149" s="37"/>
      <c r="K149" s="37"/>
      <c r="L149" s="37"/>
      <c r="M149" s="37"/>
      <c r="O149" s="39"/>
      <c r="P149" s="37"/>
    </row>
    <row r="150" spans="4:16">
      <c r="D150" s="596"/>
      <c r="G150" s="37"/>
      <c r="H150" s="37"/>
      <c r="I150" s="37"/>
      <c r="J150" s="37"/>
      <c r="K150" s="37"/>
      <c r="L150" s="37"/>
      <c r="M150" s="37"/>
      <c r="O150" s="39"/>
      <c r="P150" s="37"/>
    </row>
    <row r="151" spans="4:16">
      <c r="D151" s="596"/>
      <c r="G151" s="37"/>
      <c r="H151" s="37"/>
      <c r="I151" s="37"/>
      <c r="J151" s="37"/>
      <c r="K151" s="37"/>
      <c r="L151" s="37"/>
      <c r="M151" s="37"/>
      <c r="O151" s="39"/>
      <c r="P151" s="37"/>
    </row>
    <row r="152" spans="4:16">
      <c r="D152" s="596"/>
      <c r="G152" s="37"/>
      <c r="H152" s="37"/>
      <c r="I152" s="37"/>
      <c r="J152" s="37"/>
      <c r="K152" s="37"/>
      <c r="L152" s="37"/>
      <c r="M152" s="37"/>
      <c r="O152" s="39"/>
      <c r="P152" s="37"/>
    </row>
    <row r="153" spans="4:16">
      <c r="D153" s="596"/>
      <c r="G153" s="37"/>
      <c r="H153" s="37"/>
      <c r="I153" s="37"/>
      <c r="J153" s="37"/>
      <c r="K153" s="37"/>
      <c r="L153" s="37"/>
      <c r="M153" s="37"/>
      <c r="O153" s="39"/>
      <c r="P153" s="37"/>
    </row>
    <row r="154" spans="4:16">
      <c r="D154" s="596"/>
      <c r="G154" s="37"/>
      <c r="H154" s="37"/>
      <c r="I154" s="37"/>
      <c r="J154" s="37"/>
      <c r="K154" s="37"/>
      <c r="L154" s="37"/>
      <c r="M154" s="37"/>
      <c r="O154" s="39"/>
      <c r="P154" s="37"/>
    </row>
    <row r="155" spans="4:16">
      <c r="D155" s="596"/>
      <c r="G155" s="37"/>
      <c r="H155" s="37"/>
      <c r="I155" s="37"/>
      <c r="J155" s="37"/>
      <c r="K155" s="37"/>
      <c r="L155" s="37"/>
      <c r="M155" s="37"/>
      <c r="O155" s="39"/>
      <c r="P155" s="37"/>
    </row>
    <row r="156" spans="4:16">
      <c r="D156" s="596"/>
      <c r="G156" s="37"/>
      <c r="H156" s="37"/>
      <c r="I156" s="37"/>
      <c r="J156" s="37"/>
      <c r="K156" s="37"/>
      <c r="L156" s="37"/>
      <c r="M156" s="37"/>
      <c r="O156" s="39"/>
      <c r="P156" s="37"/>
    </row>
    <row r="157" spans="4:16">
      <c r="D157" s="596"/>
      <c r="G157" s="37"/>
      <c r="H157" s="37"/>
      <c r="I157" s="37"/>
      <c r="J157" s="37"/>
      <c r="K157" s="37"/>
      <c r="L157" s="37"/>
      <c r="M157" s="37"/>
      <c r="O157" s="39"/>
      <c r="P157" s="37"/>
    </row>
    <row r="158" spans="4:16">
      <c r="D158" s="596"/>
      <c r="G158" s="37"/>
      <c r="H158" s="37"/>
      <c r="I158" s="37"/>
      <c r="J158" s="37"/>
      <c r="K158" s="37"/>
      <c r="L158" s="37"/>
      <c r="M158" s="37"/>
      <c r="O158" s="39"/>
      <c r="P158" s="37"/>
    </row>
    <row r="159" spans="4:16">
      <c r="D159" s="596"/>
      <c r="G159" s="37"/>
      <c r="H159" s="37"/>
      <c r="I159" s="37"/>
      <c r="J159" s="37"/>
      <c r="K159" s="37"/>
      <c r="L159" s="37"/>
      <c r="M159" s="37"/>
      <c r="O159" s="39"/>
      <c r="P159" s="37"/>
    </row>
    <row r="160" spans="4:16">
      <c r="D160" s="596"/>
      <c r="G160" s="37"/>
      <c r="H160" s="37"/>
      <c r="I160" s="37"/>
      <c r="J160" s="37"/>
      <c r="K160" s="37"/>
      <c r="L160" s="37"/>
      <c r="M160" s="37"/>
      <c r="O160" s="39"/>
      <c r="P160" s="37"/>
    </row>
    <row r="161" spans="4:16">
      <c r="D161" s="596"/>
      <c r="G161" s="37"/>
      <c r="H161" s="37"/>
      <c r="I161" s="37"/>
      <c r="J161" s="37"/>
      <c r="K161" s="37"/>
      <c r="L161" s="37"/>
      <c r="M161" s="37"/>
      <c r="O161" s="39"/>
      <c r="P161" s="37"/>
    </row>
    <row r="162" spans="4:16">
      <c r="D162" s="596"/>
      <c r="G162" s="37"/>
      <c r="H162" s="37"/>
      <c r="I162" s="37"/>
      <c r="J162" s="37"/>
      <c r="K162" s="37"/>
      <c r="L162" s="37"/>
      <c r="M162" s="37"/>
      <c r="O162" s="39"/>
      <c r="P162" s="37"/>
    </row>
    <row r="163" spans="4:16">
      <c r="D163" s="596"/>
      <c r="G163" s="37"/>
      <c r="H163" s="37"/>
      <c r="I163" s="37"/>
      <c r="J163" s="37"/>
      <c r="K163" s="37"/>
      <c r="L163" s="37"/>
      <c r="M163" s="37"/>
      <c r="O163" s="39"/>
      <c r="P163" s="37"/>
    </row>
    <row r="164" spans="4:16">
      <c r="D164" s="596"/>
      <c r="G164" s="37"/>
      <c r="H164" s="37"/>
      <c r="I164" s="37"/>
      <c r="J164" s="37"/>
      <c r="K164" s="37"/>
      <c r="L164" s="37"/>
      <c r="M164" s="37"/>
      <c r="O164" s="39"/>
      <c r="P164" s="37"/>
    </row>
    <row r="165" spans="4:16">
      <c r="D165" s="596"/>
      <c r="G165" s="37"/>
      <c r="H165" s="37"/>
      <c r="I165" s="37"/>
      <c r="J165" s="37"/>
      <c r="K165" s="37"/>
      <c r="L165" s="37"/>
      <c r="M165" s="37"/>
      <c r="O165" s="39"/>
      <c r="P165" s="37"/>
    </row>
    <row r="166" spans="4:16">
      <c r="D166" s="596"/>
      <c r="G166" s="37"/>
      <c r="H166" s="37"/>
      <c r="I166" s="37"/>
      <c r="J166" s="37"/>
      <c r="K166" s="37"/>
      <c r="L166" s="37"/>
      <c r="M166" s="37"/>
      <c r="O166" s="39"/>
      <c r="P166" s="37"/>
    </row>
    <row r="167" spans="4:16">
      <c r="D167" s="596"/>
      <c r="G167" s="37"/>
      <c r="H167" s="37"/>
      <c r="I167" s="37"/>
      <c r="J167" s="37"/>
      <c r="K167" s="37"/>
      <c r="L167" s="37"/>
      <c r="M167" s="37"/>
      <c r="O167" s="39"/>
      <c r="P167" s="37"/>
    </row>
    <row r="168" spans="4:16">
      <c r="D168" s="596"/>
      <c r="G168" s="37"/>
      <c r="H168" s="37"/>
      <c r="I168" s="37"/>
      <c r="J168" s="37"/>
      <c r="K168" s="37"/>
      <c r="L168" s="37"/>
      <c r="M168" s="37"/>
      <c r="O168" s="39"/>
      <c r="P168" s="37"/>
    </row>
    <row r="169" spans="4:16">
      <c r="D169" s="596"/>
      <c r="G169" s="37"/>
      <c r="H169" s="37"/>
      <c r="I169" s="37"/>
      <c r="J169" s="37"/>
      <c r="K169" s="37"/>
      <c r="L169" s="37"/>
      <c r="M169" s="37"/>
      <c r="O169" s="39"/>
      <c r="P169" s="37"/>
    </row>
    <row r="170" spans="4:16">
      <c r="D170" s="596"/>
      <c r="G170" s="37"/>
      <c r="H170" s="37"/>
      <c r="I170" s="37"/>
      <c r="J170" s="37"/>
      <c r="K170" s="37"/>
      <c r="L170" s="37"/>
      <c r="M170" s="37"/>
      <c r="O170" s="39"/>
      <c r="P170" s="37"/>
    </row>
    <row r="171" spans="4:16">
      <c r="D171" s="596"/>
      <c r="G171" s="37"/>
      <c r="H171" s="37"/>
      <c r="I171" s="37"/>
      <c r="J171" s="37"/>
      <c r="K171" s="37"/>
      <c r="L171" s="37"/>
      <c r="M171" s="37"/>
      <c r="O171" s="39"/>
      <c r="P171" s="37"/>
    </row>
    <row r="172" spans="4:16">
      <c r="D172" s="596"/>
      <c r="G172" s="37"/>
      <c r="H172" s="37"/>
      <c r="I172" s="37"/>
      <c r="J172" s="37"/>
      <c r="K172" s="37"/>
      <c r="L172" s="37"/>
      <c r="M172" s="37"/>
      <c r="O172" s="39"/>
      <c r="P172" s="37"/>
    </row>
    <row r="173" spans="4:16">
      <c r="D173" s="596"/>
      <c r="G173" s="37"/>
      <c r="H173" s="37"/>
      <c r="I173" s="37"/>
      <c r="J173" s="37"/>
      <c r="K173" s="37"/>
      <c r="L173" s="37"/>
      <c r="M173" s="37"/>
      <c r="O173" s="39"/>
      <c r="P173" s="37"/>
    </row>
    <row r="174" spans="4:16">
      <c r="D174" s="596"/>
      <c r="G174" s="37"/>
      <c r="H174" s="37"/>
      <c r="I174" s="37"/>
      <c r="J174" s="37"/>
      <c r="K174" s="37"/>
      <c r="L174" s="37"/>
      <c r="M174" s="37"/>
      <c r="O174" s="39"/>
      <c r="P174" s="37"/>
    </row>
    <row r="175" spans="4:16">
      <c r="D175" s="596"/>
      <c r="G175" s="37"/>
      <c r="H175" s="37"/>
      <c r="I175" s="37"/>
      <c r="J175" s="37"/>
      <c r="K175" s="37"/>
      <c r="L175" s="37"/>
      <c r="M175" s="37"/>
      <c r="O175" s="39"/>
      <c r="P175" s="37"/>
    </row>
    <row r="176" spans="4:16">
      <c r="D176" s="596"/>
      <c r="G176" s="37"/>
      <c r="H176" s="37"/>
      <c r="I176" s="37"/>
      <c r="J176" s="37"/>
      <c r="K176" s="37"/>
      <c r="L176" s="37"/>
      <c r="M176" s="37"/>
      <c r="O176" s="39"/>
      <c r="P176" s="37"/>
    </row>
    <row r="177" spans="4:16">
      <c r="D177" s="596"/>
      <c r="G177" s="37"/>
      <c r="H177" s="37"/>
      <c r="I177" s="37"/>
      <c r="J177" s="37"/>
      <c r="K177" s="37"/>
      <c r="L177" s="37"/>
      <c r="M177" s="37"/>
      <c r="O177" s="39"/>
      <c r="P177" s="37"/>
    </row>
    <row r="178" spans="4:16">
      <c r="D178" s="596"/>
      <c r="G178" s="37"/>
      <c r="H178" s="37"/>
      <c r="I178" s="37"/>
      <c r="J178" s="37"/>
      <c r="K178" s="37"/>
      <c r="L178" s="37"/>
      <c r="M178" s="37"/>
      <c r="O178" s="39"/>
      <c r="P178" s="37"/>
    </row>
    <row r="179" spans="4:16">
      <c r="D179" s="596"/>
      <c r="G179" s="37"/>
      <c r="H179" s="37"/>
      <c r="I179" s="37"/>
      <c r="J179" s="37"/>
      <c r="K179" s="37"/>
      <c r="L179" s="37"/>
      <c r="M179" s="37"/>
      <c r="O179" s="39"/>
      <c r="P179" s="37"/>
    </row>
    <row r="180" spans="4:16">
      <c r="D180" s="596"/>
      <c r="G180" s="37"/>
      <c r="H180" s="37"/>
      <c r="I180" s="37"/>
      <c r="J180" s="37"/>
      <c r="K180" s="37"/>
      <c r="L180" s="37"/>
      <c r="M180" s="37"/>
      <c r="O180" s="39"/>
      <c r="P180" s="37"/>
    </row>
    <row r="181" spans="4:16">
      <c r="D181" s="596"/>
      <c r="G181" s="37"/>
      <c r="H181" s="37"/>
      <c r="I181" s="37"/>
      <c r="J181" s="37"/>
      <c r="K181" s="37"/>
      <c r="L181" s="37"/>
      <c r="M181" s="37"/>
      <c r="O181" s="39"/>
      <c r="P181" s="37"/>
    </row>
    <row r="182" spans="4:16">
      <c r="D182" s="596"/>
      <c r="G182" s="37"/>
      <c r="H182" s="37"/>
      <c r="I182" s="37"/>
      <c r="J182" s="37"/>
      <c r="K182" s="37"/>
      <c r="L182" s="37"/>
      <c r="M182" s="37"/>
      <c r="O182" s="39"/>
      <c r="P182" s="37"/>
    </row>
    <row r="183" spans="4:16">
      <c r="D183" s="596"/>
      <c r="G183" s="37"/>
      <c r="H183" s="37"/>
      <c r="I183" s="37"/>
      <c r="J183" s="37"/>
      <c r="K183" s="37"/>
      <c r="L183" s="37"/>
      <c r="M183" s="37"/>
      <c r="O183" s="39"/>
      <c r="P183" s="37"/>
    </row>
    <row r="184" spans="4:16">
      <c r="D184" s="596"/>
      <c r="G184" s="37"/>
      <c r="H184" s="37"/>
      <c r="I184" s="37"/>
      <c r="J184" s="37"/>
      <c r="K184" s="37"/>
      <c r="L184" s="37"/>
      <c r="M184" s="37"/>
      <c r="O184" s="39"/>
      <c r="P184" s="37"/>
    </row>
    <row r="185" spans="4:16">
      <c r="D185" s="596"/>
      <c r="G185" s="37"/>
      <c r="H185" s="37"/>
      <c r="I185" s="37"/>
      <c r="J185" s="37"/>
      <c r="K185" s="37"/>
      <c r="L185" s="37"/>
      <c r="M185" s="37"/>
      <c r="O185" s="39"/>
      <c r="P185" s="37"/>
    </row>
    <row r="186" spans="4:16">
      <c r="D186" s="596"/>
      <c r="G186" s="37"/>
      <c r="H186" s="37"/>
      <c r="I186" s="37"/>
      <c r="J186" s="37"/>
      <c r="K186" s="37"/>
      <c r="L186" s="37"/>
      <c r="M186" s="37"/>
      <c r="O186" s="39"/>
      <c r="P186" s="37"/>
    </row>
    <row r="187" spans="4:16">
      <c r="D187" s="596"/>
      <c r="G187" s="37"/>
      <c r="H187" s="37"/>
      <c r="I187" s="37"/>
      <c r="J187" s="37"/>
      <c r="K187" s="37"/>
      <c r="L187" s="37"/>
      <c r="M187" s="37"/>
      <c r="O187" s="39"/>
      <c r="P187" s="37"/>
    </row>
    <row r="188" spans="4:16">
      <c r="D188" s="596"/>
      <c r="G188" s="37"/>
      <c r="H188" s="37"/>
      <c r="I188" s="37"/>
      <c r="J188" s="37"/>
      <c r="K188" s="37"/>
      <c r="L188" s="37"/>
      <c r="M188" s="37"/>
      <c r="O188" s="39"/>
      <c r="P188" s="37"/>
    </row>
    <row r="189" spans="4:16">
      <c r="D189" s="596"/>
      <c r="G189" s="37"/>
      <c r="H189" s="37"/>
      <c r="I189" s="37"/>
      <c r="J189" s="37"/>
      <c r="K189" s="37"/>
      <c r="L189" s="37"/>
      <c r="M189" s="37"/>
      <c r="O189" s="39"/>
      <c r="P189" s="37"/>
    </row>
    <row r="190" spans="4:16">
      <c r="D190" s="596"/>
      <c r="G190" s="37"/>
      <c r="H190" s="37"/>
      <c r="I190" s="37"/>
      <c r="J190" s="37"/>
      <c r="K190" s="37"/>
      <c r="L190" s="37"/>
      <c r="M190" s="37"/>
      <c r="O190" s="39"/>
      <c r="P190" s="37"/>
    </row>
    <row r="191" spans="4:16">
      <c r="D191" s="596"/>
      <c r="G191" s="37"/>
      <c r="H191" s="37"/>
      <c r="I191" s="37"/>
      <c r="J191" s="37"/>
      <c r="K191" s="37"/>
      <c r="L191" s="37"/>
      <c r="M191" s="37"/>
      <c r="O191" s="39"/>
      <c r="P191" s="37"/>
    </row>
    <row r="192" spans="4:16">
      <c r="D192" s="596"/>
      <c r="G192" s="37"/>
      <c r="H192" s="37"/>
      <c r="I192" s="37"/>
      <c r="J192" s="37"/>
      <c r="K192" s="37"/>
      <c r="L192" s="37"/>
      <c r="M192" s="37"/>
      <c r="O192" s="39"/>
      <c r="P192" s="37"/>
    </row>
    <row r="193" spans="4:16">
      <c r="D193" s="596"/>
      <c r="G193" s="37"/>
      <c r="H193" s="37"/>
      <c r="I193" s="37"/>
      <c r="J193" s="37"/>
      <c r="K193" s="37"/>
      <c r="L193" s="37"/>
      <c r="M193" s="37"/>
      <c r="O193" s="39"/>
      <c r="P193" s="37"/>
    </row>
    <row r="194" spans="4:16">
      <c r="D194" s="596"/>
      <c r="G194" s="37"/>
      <c r="H194" s="37"/>
      <c r="I194" s="37"/>
      <c r="J194" s="37"/>
      <c r="K194" s="37"/>
      <c r="L194" s="37"/>
      <c r="M194" s="37"/>
      <c r="O194" s="39"/>
      <c r="P194" s="37"/>
    </row>
    <row r="195" spans="4:16">
      <c r="D195" s="596"/>
      <c r="G195" s="37"/>
      <c r="H195" s="37"/>
      <c r="I195" s="37"/>
      <c r="J195" s="37"/>
      <c r="K195" s="37"/>
      <c r="L195" s="37"/>
      <c r="M195" s="37"/>
      <c r="O195" s="39"/>
      <c r="P195" s="37"/>
    </row>
    <row r="196" spans="4:16">
      <c r="D196" s="596"/>
      <c r="G196" s="37"/>
      <c r="H196" s="37"/>
      <c r="I196" s="37"/>
      <c r="J196" s="37"/>
      <c r="K196" s="37"/>
      <c r="L196" s="37"/>
      <c r="M196" s="37"/>
      <c r="O196" s="39"/>
      <c r="P196" s="37"/>
    </row>
    <row r="197" spans="4:16">
      <c r="D197" s="596"/>
      <c r="G197" s="37"/>
      <c r="H197" s="37"/>
      <c r="I197" s="37"/>
      <c r="J197" s="37"/>
      <c r="K197" s="37"/>
      <c r="L197" s="37"/>
      <c r="M197" s="37"/>
      <c r="O197" s="39"/>
      <c r="P197" s="37"/>
    </row>
    <row r="198" spans="4:16">
      <c r="D198" s="596"/>
      <c r="G198" s="37"/>
      <c r="H198" s="37"/>
      <c r="I198" s="37"/>
      <c r="J198" s="37"/>
      <c r="K198" s="37"/>
      <c r="L198" s="37"/>
      <c r="M198" s="37"/>
      <c r="O198" s="39"/>
      <c r="P198" s="37"/>
    </row>
    <row r="199" spans="4:16">
      <c r="D199" s="596"/>
      <c r="G199" s="37"/>
      <c r="H199" s="37"/>
      <c r="I199" s="37"/>
      <c r="J199" s="37"/>
      <c r="K199" s="37"/>
      <c r="L199" s="37"/>
      <c r="M199" s="37"/>
      <c r="O199" s="39"/>
      <c r="P199" s="37"/>
    </row>
    <row r="200" spans="4:16">
      <c r="D200" s="596"/>
      <c r="G200" s="37"/>
      <c r="H200" s="37"/>
      <c r="I200" s="37"/>
      <c r="J200" s="37"/>
      <c r="K200" s="37"/>
      <c r="L200" s="37"/>
      <c r="M200" s="37"/>
      <c r="O200" s="39"/>
      <c r="P200" s="37"/>
    </row>
    <row r="201" spans="4:16">
      <c r="D201" s="596"/>
      <c r="G201" s="37"/>
      <c r="H201" s="37"/>
      <c r="I201" s="37"/>
      <c r="J201" s="37"/>
      <c r="K201" s="37"/>
      <c r="L201" s="37"/>
      <c r="M201" s="37"/>
      <c r="O201" s="39"/>
      <c r="P201" s="37"/>
    </row>
    <row r="202" spans="4:16">
      <c r="D202" s="596"/>
      <c r="G202" s="37"/>
      <c r="H202" s="37"/>
      <c r="I202" s="37"/>
      <c r="J202" s="37"/>
      <c r="K202" s="37"/>
      <c r="L202" s="37"/>
      <c r="M202" s="37"/>
      <c r="O202" s="39"/>
      <c r="P202" s="37"/>
    </row>
    <row r="203" spans="4:16">
      <c r="D203" s="596"/>
      <c r="G203" s="37"/>
      <c r="H203" s="37"/>
      <c r="I203" s="37"/>
      <c r="J203" s="37"/>
      <c r="K203" s="37"/>
      <c r="L203" s="37"/>
      <c r="M203" s="37"/>
      <c r="O203" s="39"/>
      <c r="P203" s="37"/>
    </row>
    <row r="204" spans="4:16">
      <c r="D204" s="596"/>
      <c r="G204" s="37"/>
      <c r="H204" s="37"/>
      <c r="I204" s="37"/>
      <c r="J204" s="37"/>
      <c r="K204" s="37"/>
      <c r="L204" s="37"/>
      <c r="M204" s="37"/>
      <c r="O204" s="39"/>
      <c r="P204" s="37"/>
    </row>
    <row r="205" spans="4:16">
      <c r="D205" s="596"/>
      <c r="G205" s="37"/>
      <c r="H205" s="37"/>
      <c r="I205" s="37"/>
      <c r="J205" s="37"/>
      <c r="K205" s="37"/>
      <c r="L205" s="37"/>
      <c r="M205" s="37"/>
      <c r="O205" s="39"/>
      <c r="P205" s="37"/>
    </row>
    <row r="206" spans="4:16">
      <c r="D206" s="596"/>
      <c r="G206" s="37"/>
      <c r="H206" s="37"/>
      <c r="I206" s="37"/>
      <c r="J206" s="37"/>
      <c r="K206" s="37"/>
      <c r="L206" s="37"/>
      <c r="M206" s="37"/>
      <c r="O206" s="39"/>
      <c r="P206" s="37"/>
    </row>
    <row r="207" spans="4:16">
      <c r="D207" s="596"/>
      <c r="G207" s="37"/>
      <c r="H207" s="37"/>
      <c r="I207" s="37"/>
      <c r="J207" s="37"/>
      <c r="K207" s="37"/>
      <c r="L207" s="37"/>
      <c r="M207" s="37"/>
      <c r="O207" s="39"/>
      <c r="P207" s="37"/>
    </row>
    <row r="208" spans="4:16">
      <c r="D208" s="596"/>
      <c r="G208" s="37"/>
      <c r="H208" s="37"/>
      <c r="I208" s="37"/>
      <c r="J208" s="37"/>
      <c r="K208" s="37"/>
      <c r="L208" s="37"/>
      <c r="M208" s="37"/>
      <c r="O208" s="39"/>
      <c r="P208" s="37"/>
    </row>
    <row r="209" spans="4:16">
      <c r="D209" s="596"/>
      <c r="G209" s="37"/>
      <c r="H209" s="37"/>
      <c r="I209" s="37"/>
      <c r="J209" s="37"/>
      <c r="K209" s="37"/>
      <c r="L209" s="37"/>
      <c r="M209" s="37"/>
      <c r="O209" s="39"/>
      <c r="P209" s="37"/>
    </row>
    <row r="210" spans="4:16">
      <c r="D210" s="596"/>
      <c r="G210" s="37"/>
      <c r="H210" s="37"/>
      <c r="I210" s="37"/>
      <c r="J210" s="37"/>
      <c r="K210" s="37"/>
      <c r="L210" s="37"/>
      <c r="M210" s="37"/>
      <c r="O210" s="39"/>
      <c r="P210" s="37"/>
    </row>
    <row r="211" spans="4:16">
      <c r="D211" s="596"/>
      <c r="G211" s="37"/>
      <c r="H211" s="37"/>
      <c r="I211" s="37"/>
      <c r="J211" s="37"/>
      <c r="K211" s="37"/>
      <c r="L211" s="37"/>
      <c r="M211" s="37"/>
      <c r="O211" s="39"/>
      <c r="P211" s="37"/>
    </row>
    <row r="212" spans="4:16">
      <c r="D212" s="596"/>
      <c r="G212" s="37"/>
      <c r="H212" s="37"/>
      <c r="I212" s="37"/>
      <c r="J212" s="37"/>
      <c r="K212" s="37"/>
      <c r="L212" s="37"/>
      <c r="M212" s="37"/>
      <c r="O212" s="39"/>
      <c r="P212" s="37"/>
    </row>
    <row r="213" spans="4:16">
      <c r="D213" s="596"/>
      <c r="G213" s="37"/>
      <c r="H213" s="37"/>
      <c r="I213" s="37"/>
      <c r="J213" s="37"/>
      <c r="K213" s="37"/>
      <c r="L213" s="37"/>
      <c r="M213" s="37"/>
      <c r="O213" s="39"/>
      <c r="P213" s="37"/>
    </row>
    <row r="214" spans="4:16">
      <c r="D214" s="596"/>
      <c r="G214" s="37"/>
      <c r="H214" s="37"/>
      <c r="I214" s="37"/>
      <c r="J214" s="37"/>
      <c r="K214" s="37"/>
      <c r="L214" s="37"/>
      <c r="M214" s="37"/>
      <c r="O214" s="39"/>
      <c r="P214" s="37"/>
    </row>
    <row r="215" spans="4:16">
      <c r="D215" s="596"/>
      <c r="G215" s="37"/>
      <c r="H215" s="37"/>
      <c r="I215" s="37"/>
      <c r="J215" s="37"/>
      <c r="K215" s="37"/>
      <c r="L215" s="37"/>
      <c r="M215" s="37"/>
      <c r="O215" s="39"/>
      <c r="P215" s="37"/>
    </row>
    <row r="216" spans="4:16">
      <c r="D216" s="596"/>
      <c r="G216" s="37"/>
      <c r="H216" s="37"/>
      <c r="I216" s="37"/>
      <c r="J216" s="37"/>
      <c r="K216" s="37"/>
      <c r="L216" s="37"/>
      <c r="M216" s="37"/>
      <c r="O216" s="39"/>
      <c r="P216" s="37"/>
    </row>
    <row r="217" spans="4:16">
      <c r="D217" s="596"/>
      <c r="G217" s="37"/>
      <c r="H217" s="37"/>
      <c r="I217" s="37"/>
      <c r="J217" s="37"/>
      <c r="K217" s="37"/>
      <c r="L217" s="37"/>
      <c r="M217" s="37"/>
      <c r="O217" s="39"/>
      <c r="P217" s="37"/>
    </row>
    <row r="218" spans="4:16">
      <c r="D218" s="596"/>
      <c r="G218" s="37"/>
      <c r="H218" s="37"/>
      <c r="I218" s="37"/>
      <c r="J218" s="37"/>
      <c r="K218" s="37"/>
      <c r="L218" s="37"/>
      <c r="M218" s="37"/>
      <c r="O218" s="39"/>
      <c r="P218" s="37"/>
    </row>
    <row r="219" spans="4:16">
      <c r="D219" s="596"/>
      <c r="G219" s="37"/>
      <c r="H219" s="37"/>
      <c r="I219" s="37"/>
      <c r="J219" s="37"/>
      <c r="K219" s="37"/>
      <c r="L219" s="37"/>
      <c r="M219" s="37"/>
      <c r="O219" s="39"/>
      <c r="P219" s="37"/>
    </row>
    <row r="220" spans="4:16">
      <c r="D220" s="596"/>
      <c r="G220" s="37"/>
      <c r="H220" s="37"/>
      <c r="I220" s="37"/>
      <c r="J220" s="37"/>
      <c r="K220" s="37"/>
      <c r="L220" s="37"/>
      <c r="M220" s="37"/>
      <c r="O220" s="39"/>
      <c r="P220" s="37"/>
    </row>
    <row r="221" spans="4:16">
      <c r="D221" s="596"/>
      <c r="G221" s="37"/>
      <c r="H221" s="37"/>
      <c r="I221" s="37"/>
      <c r="J221" s="37"/>
      <c r="K221" s="37"/>
      <c r="L221" s="37"/>
      <c r="M221" s="37"/>
      <c r="O221" s="39"/>
      <c r="P221" s="37"/>
    </row>
    <row r="222" spans="4:16">
      <c r="D222" s="596"/>
      <c r="G222" s="37"/>
      <c r="H222" s="37"/>
      <c r="I222" s="37"/>
      <c r="J222" s="37"/>
      <c r="K222" s="37"/>
      <c r="L222" s="37"/>
      <c r="M222" s="37"/>
      <c r="O222" s="39"/>
      <c r="P222" s="37"/>
    </row>
    <row r="223" spans="4:16">
      <c r="D223" s="596"/>
      <c r="G223" s="37"/>
      <c r="H223" s="37"/>
      <c r="I223" s="37"/>
      <c r="J223" s="37"/>
      <c r="K223" s="37"/>
      <c r="L223" s="37"/>
      <c r="M223" s="37"/>
      <c r="O223" s="39"/>
      <c r="P223" s="37"/>
    </row>
    <row r="224" spans="4:16">
      <c r="D224" s="596"/>
      <c r="G224" s="37"/>
      <c r="H224" s="37"/>
      <c r="I224" s="37"/>
      <c r="J224" s="37"/>
      <c r="K224" s="37"/>
      <c r="L224" s="37"/>
      <c r="M224" s="37"/>
      <c r="O224" s="39"/>
      <c r="P224" s="37"/>
    </row>
    <row r="225" spans="4:16">
      <c r="D225" s="596"/>
      <c r="G225" s="37"/>
      <c r="H225" s="37"/>
      <c r="I225" s="37"/>
      <c r="J225" s="37"/>
      <c r="K225" s="37"/>
      <c r="L225" s="37"/>
      <c r="M225" s="37"/>
      <c r="O225" s="39"/>
      <c r="P225" s="37"/>
    </row>
    <row r="226" spans="4:16">
      <c r="D226" s="596"/>
      <c r="G226" s="37"/>
      <c r="H226" s="37"/>
      <c r="I226" s="37"/>
      <c r="J226" s="37"/>
      <c r="K226" s="37"/>
      <c r="L226" s="37"/>
      <c r="M226" s="37"/>
      <c r="O226" s="39"/>
      <c r="P226" s="37"/>
    </row>
    <row r="227" spans="4:16">
      <c r="D227" s="596"/>
      <c r="G227" s="37"/>
      <c r="H227" s="37"/>
      <c r="I227" s="37"/>
      <c r="J227" s="37"/>
      <c r="K227" s="37"/>
      <c r="L227" s="37"/>
      <c r="M227" s="37"/>
      <c r="O227" s="39"/>
      <c r="P227" s="37"/>
    </row>
    <row r="228" spans="4:16">
      <c r="D228" s="596"/>
      <c r="G228" s="37"/>
      <c r="H228" s="37"/>
      <c r="I228" s="37"/>
      <c r="J228" s="37"/>
      <c r="K228" s="37"/>
      <c r="L228" s="37"/>
      <c r="M228" s="37"/>
      <c r="O228" s="39"/>
      <c r="P228" s="37"/>
    </row>
    <row r="229" spans="4:16">
      <c r="D229" s="596"/>
      <c r="G229" s="37"/>
      <c r="H229" s="37"/>
      <c r="I229" s="37"/>
      <c r="J229" s="37"/>
      <c r="K229" s="37"/>
      <c r="L229" s="37"/>
      <c r="M229" s="37"/>
      <c r="O229" s="39"/>
      <c r="P229" s="37"/>
    </row>
    <row r="230" spans="4:16">
      <c r="D230" s="596"/>
      <c r="G230" s="37"/>
      <c r="H230" s="37"/>
      <c r="I230" s="37"/>
      <c r="J230" s="37"/>
      <c r="K230" s="37"/>
      <c r="L230" s="37"/>
      <c r="M230" s="37"/>
      <c r="O230" s="39"/>
      <c r="P230" s="37"/>
    </row>
    <row r="231" spans="4:16">
      <c r="D231" s="596"/>
      <c r="G231" s="37"/>
      <c r="H231" s="37"/>
      <c r="I231" s="37"/>
      <c r="J231" s="37"/>
      <c r="K231" s="37"/>
      <c r="L231" s="37"/>
      <c r="M231" s="37"/>
      <c r="O231" s="39"/>
      <c r="P231" s="37"/>
    </row>
    <row r="232" spans="4:16">
      <c r="D232" s="596"/>
      <c r="G232" s="37"/>
      <c r="H232" s="37"/>
      <c r="I232" s="37"/>
      <c r="J232" s="37"/>
      <c r="K232" s="37"/>
      <c r="L232" s="37"/>
      <c r="M232" s="37"/>
      <c r="O232" s="39"/>
      <c r="P232" s="37"/>
    </row>
    <row r="233" spans="4:16">
      <c r="D233" s="596"/>
      <c r="G233" s="37"/>
      <c r="H233" s="37"/>
      <c r="I233" s="37"/>
      <c r="J233" s="37"/>
      <c r="K233" s="37"/>
      <c r="L233" s="37"/>
      <c r="M233" s="37"/>
      <c r="O233" s="39"/>
      <c r="P233" s="37"/>
    </row>
    <row r="234" spans="4:16">
      <c r="D234" s="596"/>
      <c r="G234" s="37"/>
      <c r="H234" s="37"/>
      <c r="I234" s="37"/>
      <c r="J234" s="37"/>
      <c r="K234" s="37"/>
      <c r="L234" s="37"/>
      <c r="M234" s="37"/>
      <c r="O234" s="39"/>
      <c r="P234" s="37"/>
    </row>
    <row r="235" spans="4:16">
      <c r="D235" s="596"/>
      <c r="G235" s="37"/>
      <c r="H235" s="37"/>
      <c r="I235" s="37"/>
      <c r="J235" s="37"/>
      <c r="K235" s="37"/>
      <c r="L235" s="37"/>
      <c r="M235" s="37"/>
      <c r="O235" s="39"/>
      <c r="P235" s="37"/>
    </row>
    <row r="236" spans="4:16">
      <c r="D236" s="596"/>
      <c r="G236" s="37"/>
      <c r="H236" s="37"/>
      <c r="I236" s="37"/>
      <c r="J236" s="37"/>
      <c r="K236" s="37"/>
      <c r="L236" s="37"/>
      <c r="M236" s="37"/>
      <c r="O236" s="39"/>
      <c r="P236" s="37"/>
    </row>
    <row r="237" spans="4:16">
      <c r="D237" s="596"/>
      <c r="G237" s="37"/>
      <c r="H237" s="37"/>
      <c r="I237" s="37"/>
      <c r="J237" s="37"/>
      <c r="K237" s="37"/>
      <c r="L237" s="37"/>
      <c r="M237" s="37"/>
      <c r="O237" s="39"/>
      <c r="P237" s="37"/>
    </row>
    <row r="238" spans="4:16">
      <c r="D238" s="596"/>
      <c r="G238" s="37"/>
      <c r="H238" s="37"/>
      <c r="I238" s="37"/>
      <c r="J238" s="37"/>
      <c r="K238" s="37"/>
      <c r="L238" s="37"/>
      <c r="M238" s="37"/>
      <c r="O238" s="39"/>
      <c r="P238" s="37"/>
    </row>
    <row r="239" spans="4:16">
      <c r="D239" s="596"/>
      <c r="G239" s="37"/>
      <c r="H239" s="37"/>
      <c r="I239" s="37"/>
      <c r="J239" s="37"/>
      <c r="K239" s="37"/>
      <c r="L239" s="37"/>
      <c r="M239" s="37"/>
      <c r="O239" s="39"/>
      <c r="P239" s="37"/>
    </row>
    <row r="240" spans="4:16">
      <c r="D240" s="596"/>
      <c r="G240" s="37"/>
      <c r="H240" s="37"/>
      <c r="I240" s="37"/>
      <c r="J240" s="37"/>
      <c r="K240" s="37"/>
      <c r="L240" s="37"/>
      <c r="M240" s="37"/>
      <c r="O240" s="39"/>
      <c r="P240" s="37"/>
    </row>
    <row r="241" spans="4:16">
      <c r="D241" s="596"/>
      <c r="G241" s="37"/>
      <c r="H241" s="37"/>
      <c r="I241" s="37"/>
      <c r="J241" s="37"/>
      <c r="K241" s="37"/>
      <c r="L241" s="37"/>
      <c r="M241" s="37"/>
      <c r="O241" s="39"/>
      <c r="P241" s="37"/>
    </row>
    <row r="242" spans="4:16">
      <c r="D242" s="596"/>
      <c r="G242" s="37"/>
      <c r="H242" s="37"/>
      <c r="I242" s="37"/>
      <c r="J242" s="37"/>
      <c r="K242" s="37"/>
      <c r="L242" s="37"/>
      <c r="M242" s="37"/>
      <c r="O242" s="39"/>
      <c r="P242" s="37"/>
    </row>
    <row r="243" spans="4:16">
      <c r="D243" s="596"/>
      <c r="G243" s="37"/>
      <c r="H243" s="37"/>
      <c r="I243" s="37"/>
      <c r="J243" s="37"/>
      <c r="K243" s="37"/>
      <c r="L243" s="37"/>
      <c r="M243" s="37"/>
      <c r="O243" s="39"/>
      <c r="P243" s="37"/>
    </row>
    <row r="244" spans="4:16">
      <c r="D244" s="596"/>
      <c r="G244" s="37"/>
      <c r="H244" s="37"/>
      <c r="I244" s="37"/>
      <c r="J244" s="37"/>
      <c r="K244" s="37"/>
      <c r="L244" s="37"/>
      <c r="M244" s="37"/>
      <c r="O244" s="39"/>
      <c r="P244" s="37"/>
    </row>
    <row r="245" spans="4:16">
      <c r="D245" s="596"/>
      <c r="G245" s="37"/>
      <c r="H245" s="37"/>
      <c r="I245" s="37"/>
      <c r="J245" s="37"/>
      <c r="K245" s="37"/>
      <c r="L245" s="37"/>
      <c r="M245" s="37"/>
      <c r="O245" s="39"/>
      <c r="P245" s="37"/>
    </row>
    <row r="246" spans="4:16">
      <c r="D246" s="596"/>
      <c r="G246" s="37"/>
      <c r="H246" s="37"/>
      <c r="I246" s="37"/>
      <c r="J246" s="37"/>
      <c r="K246" s="37"/>
      <c r="L246" s="37"/>
      <c r="M246" s="37"/>
      <c r="O246" s="39"/>
      <c r="P246" s="37"/>
    </row>
    <row r="247" spans="4:16">
      <c r="D247" s="596"/>
      <c r="G247" s="37"/>
      <c r="H247" s="37"/>
      <c r="I247" s="37"/>
      <c r="J247" s="37"/>
      <c r="K247" s="37"/>
      <c r="L247" s="37"/>
      <c r="M247" s="37"/>
      <c r="O247" s="39"/>
      <c r="P247" s="37"/>
    </row>
    <row r="248" spans="4:16">
      <c r="D248" s="596"/>
      <c r="G248" s="37"/>
      <c r="H248" s="37"/>
      <c r="I248" s="37"/>
      <c r="J248" s="37"/>
      <c r="K248" s="37"/>
      <c r="L248" s="37"/>
      <c r="M248" s="37"/>
      <c r="O248" s="39"/>
      <c r="P248" s="37"/>
    </row>
    <row r="249" spans="4:16">
      <c r="D249" s="596"/>
      <c r="G249" s="37"/>
      <c r="H249" s="37"/>
      <c r="I249" s="37"/>
      <c r="J249" s="37"/>
      <c r="K249" s="37"/>
      <c r="L249" s="37"/>
      <c r="M249" s="37"/>
      <c r="O249" s="39"/>
      <c r="P249" s="37"/>
    </row>
    <row r="250" spans="4:16">
      <c r="D250" s="596"/>
      <c r="G250" s="37"/>
      <c r="H250" s="37"/>
      <c r="I250" s="37"/>
      <c r="J250" s="37"/>
      <c r="K250" s="37"/>
      <c r="L250" s="37"/>
      <c r="M250" s="37"/>
      <c r="O250" s="39"/>
      <c r="P250" s="37"/>
    </row>
    <row r="251" spans="4:16">
      <c r="D251" s="596"/>
      <c r="G251" s="37"/>
      <c r="H251" s="37"/>
      <c r="I251" s="37"/>
      <c r="J251" s="37"/>
      <c r="K251" s="37"/>
      <c r="L251" s="37"/>
      <c r="M251" s="37"/>
      <c r="O251" s="39"/>
      <c r="P251" s="37"/>
    </row>
    <row r="252" spans="4:16">
      <c r="D252" s="596"/>
      <c r="G252" s="37"/>
      <c r="H252" s="37"/>
      <c r="I252" s="37"/>
      <c r="J252" s="37"/>
      <c r="K252" s="37"/>
      <c r="L252" s="37"/>
      <c r="M252" s="37"/>
      <c r="O252" s="39"/>
      <c r="P252" s="37"/>
    </row>
    <row r="253" spans="4:16">
      <c r="D253" s="596"/>
      <c r="G253" s="37"/>
      <c r="H253" s="37"/>
      <c r="I253" s="37"/>
      <c r="J253" s="37"/>
      <c r="K253" s="37"/>
      <c r="L253" s="37"/>
      <c r="M253" s="37"/>
      <c r="O253" s="39"/>
      <c r="P253" s="37"/>
    </row>
    <row r="254" spans="4:16">
      <c r="D254" s="596"/>
      <c r="G254" s="37"/>
      <c r="H254" s="37"/>
      <c r="I254" s="37"/>
      <c r="J254" s="37"/>
      <c r="K254" s="37"/>
      <c r="L254" s="37"/>
      <c r="M254" s="37"/>
      <c r="O254" s="39"/>
      <c r="P254" s="37"/>
    </row>
    <row r="255" spans="4:16">
      <c r="D255" s="596"/>
      <c r="G255" s="37"/>
      <c r="H255" s="37"/>
      <c r="I255" s="37"/>
      <c r="J255" s="37"/>
      <c r="K255" s="37"/>
      <c r="L255" s="37"/>
      <c r="M255" s="37"/>
      <c r="O255" s="39"/>
      <c r="P255" s="37"/>
    </row>
    <row r="256" spans="4:16">
      <c r="D256" s="596"/>
      <c r="G256" s="37"/>
      <c r="H256" s="37"/>
      <c r="I256" s="37"/>
      <c r="J256" s="37"/>
      <c r="K256" s="37"/>
      <c r="L256" s="37"/>
      <c r="M256" s="37"/>
      <c r="O256" s="39"/>
      <c r="P256" s="37"/>
    </row>
    <row r="257" spans="4:16">
      <c r="D257" s="596"/>
      <c r="G257" s="37"/>
      <c r="H257" s="37"/>
      <c r="I257" s="37"/>
      <c r="J257" s="37"/>
      <c r="K257" s="37"/>
      <c r="L257" s="37"/>
      <c r="M257" s="37"/>
      <c r="O257" s="39"/>
      <c r="P257" s="37"/>
    </row>
    <row r="258" spans="4:16">
      <c r="D258" s="596"/>
      <c r="G258" s="37"/>
      <c r="H258" s="37"/>
      <c r="I258" s="37"/>
      <c r="J258" s="37"/>
      <c r="K258" s="37"/>
      <c r="L258" s="37"/>
      <c r="M258" s="37"/>
      <c r="O258" s="39"/>
      <c r="P258" s="37"/>
    </row>
    <row r="259" spans="4:16">
      <c r="D259" s="596"/>
      <c r="G259" s="37"/>
      <c r="H259" s="37"/>
      <c r="I259" s="37"/>
      <c r="J259" s="37"/>
      <c r="K259" s="37"/>
      <c r="L259" s="37"/>
      <c r="M259" s="37"/>
      <c r="O259" s="39"/>
      <c r="P259" s="37"/>
    </row>
    <row r="260" spans="4:16">
      <c r="D260" s="596"/>
      <c r="G260" s="37"/>
      <c r="H260" s="37"/>
      <c r="I260" s="37"/>
      <c r="J260" s="37"/>
      <c r="K260" s="37"/>
      <c r="L260" s="37"/>
      <c r="M260" s="37"/>
      <c r="O260" s="39"/>
      <c r="P260" s="37"/>
    </row>
    <row r="261" spans="4:16">
      <c r="D261" s="596"/>
      <c r="G261" s="37"/>
      <c r="H261" s="37"/>
      <c r="I261" s="37"/>
      <c r="J261" s="37"/>
      <c r="K261" s="37"/>
      <c r="L261" s="37"/>
      <c r="M261" s="37"/>
      <c r="O261" s="39"/>
      <c r="P261" s="37"/>
    </row>
    <row r="262" spans="4:16">
      <c r="D262" s="596"/>
      <c r="G262" s="37"/>
      <c r="H262" s="37"/>
      <c r="I262" s="37"/>
      <c r="J262" s="37"/>
      <c r="K262" s="37"/>
      <c r="L262" s="37"/>
      <c r="M262" s="37"/>
      <c r="O262" s="39"/>
      <c r="P262" s="37"/>
    </row>
    <row r="263" spans="4:16">
      <c r="D263" s="596"/>
      <c r="G263" s="37"/>
      <c r="H263" s="37"/>
      <c r="I263" s="37"/>
      <c r="J263" s="37"/>
      <c r="K263" s="37"/>
      <c r="L263" s="37"/>
      <c r="M263" s="37"/>
      <c r="O263" s="39"/>
      <c r="P263" s="37"/>
    </row>
    <row r="264" spans="4:16">
      <c r="D264" s="596"/>
      <c r="G264" s="37"/>
      <c r="H264" s="37"/>
      <c r="I264" s="37"/>
      <c r="J264" s="37"/>
      <c r="K264" s="37"/>
      <c r="L264" s="37"/>
      <c r="M264" s="37"/>
      <c r="O264" s="39"/>
      <c r="P264" s="37"/>
    </row>
    <row r="265" spans="4:16">
      <c r="D265" s="596"/>
      <c r="G265" s="37"/>
      <c r="H265" s="37"/>
      <c r="I265" s="37"/>
      <c r="J265" s="37"/>
      <c r="K265" s="37"/>
      <c r="L265" s="37"/>
      <c r="M265" s="37"/>
      <c r="O265" s="39"/>
      <c r="P265" s="37"/>
    </row>
    <row r="266" spans="4:16">
      <c r="D266" s="596"/>
      <c r="G266" s="37"/>
      <c r="H266" s="37"/>
      <c r="I266" s="37"/>
      <c r="J266" s="37"/>
      <c r="K266" s="37"/>
      <c r="L266" s="37"/>
      <c r="M266" s="37"/>
      <c r="O266" s="39"/>
      <c r="P266" s="37"/>
    </row>
    <row r="267" spans="4:16">
      <c r="D267" s="596"/>
      <c r="G267" s="37"/>
      <c r="H267" s="37"/>
      <c r="I267" s="37"/>
      <c r="J267" s="37"/>
      <c r="K267" s="37"/>
      <c r="L267" s="37"/>
      <c r="M267" s="37"/>
      <c r="O267" s="39"/>
      <c r="P267" s="37"/>
    </row>
    <row r="268" spans="4:16">
      <c r="D268" s="596"/>
      <c r="G268" s="37"/>
      <c r="H268" s="37"/>
      <c r="I268" s="37"/>
      <c r="J268" s="37"/>
      <c r="K268" s="37"/>
      <c r="L268" s="37"/>
      <c r="M268" s="37"/>
      <c r="O268" s="39"/>
      <c r="P268" s="37"/>
    </row>
    <row r="269" spans="4:16">
      <c r="D269" s="596"/>
      <c r="G269" s="37"/>
      <c r="H269" s="37"/>
      <c r="I269" s="37"/>
      <c r="J269" s="37"/>
      <c r="K269" s="37"/>
      <c r="L269" s="37"/>
      <c r="M269" s="37"/>
      <c r="O269" s="39"/>
      <c r="P269" s="37"/>
    </row>
    <row r="270" spans="4:16">
      <c r="D270" s="596"/>
      <c r="G270" s="37"/>
      <c r="H270" s="37"/>
      <c r="I270" s="37"/>
      <c r="J270" s="37"/>
      <c r="K270" s="37"/>
      <c r="L270" s="37"/>
      <c r="M270" s="37"/>
      <c r="O270" s="39"/>
      <c r="P270" s="37"/>
    </row>
    <row r="271" spans="4:16">
      <c r="D271" s="596"/>
      <c r="G271" s="37"/>
      <c r="H271" s="37"/>
      <c r="I271" s="37"/>
      <c r="J271" s="37"/>
      <c r="K271" s="37"/>
      <c r="L271" s="37"/>
      <c r="M271" s="37"/>
      <c r="O271" s="39"/>
      <c r="P271" s="37"/>
    </row>
    <row r="272" spans="4:16">
      <c r="D272" s="596"/>
      <c r="G272" s="37"/>
      <c r="H272" s="37"/>
      <c r="I272" s="37"/>
      <c r="J272" s="37"/>
      <c r="K272" s="37"/>
      <c r="L272" s="37"/>
      <c r="M272" s="37"/>
      <c r="O272" s="39"/>
      <c r="P272" s="37"/>
    </row>
    <row r="273" spans="4:16">
      <c r="D273" s="596"/>
      <c r="G273" s="37"/>
      <c r="H273" s="37"/>
      <c r="I273" s="37"/>
      <c r="J273" s="37"/>
      <c r="K273" s="37"/>
      <c r="L273" s="37"/>
      <c r="M273" s="37"/>
      <c r="O273" s="39"/>
      <c r="P273" s="37"/>
    </row>
    <row r="274" spans="4:16">
      <c r="D274" s="596"/>
      <c r="G274" s="37"/>
      <c r="H274" s="37"/>
      <c r="I274" s="37"/>
      <c r="J274" s="37"/>
      <c r="K274" s="37"/>
      <c r="L274" s="37"/>
      <c r="M274" s="37"/>
      <c r="O274" s="39"/>
      <c r="P274" s="37"/>
    </row>
    <row r="275" spans="4:16">
      <c r="D275" s="596"/>
      <c r="G275" s="37"/>
      <c r="H275" s="37"/>
      <c r="I275" s="37"/>
      <c r="J275" s="37"/>
      <c r="K275" s="37"/>
      <c r="L275" s="37"/>
      <c r="M275" s="37"/>
      <c r="O275" s="39"/>
      <c r="P275" s="37"/>
    </row>
    <row r="276" spans="4:16">
      <c r="D276" s="596"/>
      <c r="G276" s="37"/>
      <c r="H276" s="37"/>
      <c r="I276" s="37"/>
      <c r="J276" s="37"/>
      <c r="K276" s="37"/>
      <c r="L276" s="37"/>
      <c r="M276" s="37"/>
      <c r="O276" s="39"/>
      <c r="P276" s="37"/>
    </row>
    <row r="277" spans="4:16">
      <c r="D277" s="596"/>
      <c r="G277" s="37"/>
      <c r="H277" s="37"/>
      <c r="I277" s="37"/>
      <c r="J277" s="37"/>
      <c r="K277" s="37"/>
      <c r="L277" s="37"/>
      <c r="M277" s="37"/>
      <c r="O277" s="39"/>
      <c r="P277" s="37"/>
    </row>
    <row r="278" spans="4:16">
      <c r="D278" s="596"/>
      <c r="G278" s="37"/>
      <c r="H278" s="37"/>
      <c r="I278" s="37"/>
      <c r="J278" s="37"/>
      <c r="K278" s="37"/>
      <c r="L278" s="37"/>
      <c r="M278" s="37"/>
      <c r="O278" s="39"/>
      <c r="P278" s="37"/>
    </row>
    <row r="279" spans="4:16">
      <c r="D279" s="596"/>
      <c r="G279" s="37"/>
      <c r="H279" s="37"/>
      <c r="I279" s="37"/>
      <c r="J279" s="37"/>
      <c r="K279" s="37"/>
      <c r="L279" s="37"/>
      <c r="M279" s="37"/>
      <c r="O279" s="39"/>
      <c r="P279" s="37"/>
    </row>
    <row r="280" spans="4:16">
      <c r="D280" s="596"/>
      <c r="G280" s="37"/>
      <c r="H280" s="37"/>
      <c r="I280" s="37"/>
      <c r="J280" s="37"/>
      <c r="K280" s="37"/>
      <c r="L280" s="37"/>
      <c r="M280" s="37"/>
      <c r="O280" s="39"/>
      <c r="P280" s="37"/>
    </row>
    <row r="281" spans="4:16">
      <c r="D281" s="596"/>
      <c r="G281" s="37"/>
      <c r="H281" s="37"/>
      <c r="I281" s="37"/>
      <c r="J281" s="37"/>
      <c r="K281" s="37"/>
      <c r="L281" s="37"/>
      <c r="M281" s="37"/>
      <c r="O281" s="39"/>
      <c r="P281" s="37"/>
    </row>
    <row r="282" spans="4:16">
      <c r="D282" s="596"/>
      <c r="G282" s="37"/>
      <c r="H282" s="37"/>
      <c r="I282" s="37"/>
      <c r="J282" s="37"/>
      <c r="K282" s="37"/>
      <c r="L282" s="37"/>
      <c r="M282" s="37"/>
      <c r="O282" s="39"/>
      <c r="P282" s="37"/>
    </row>
    <row r="283" spans="4:16">
      <c r="D283" s="596"/>
      <c r="G283" s="37"/>
      <c r="H283" s="37"/>
      <c r="I283" s="37"/>
      <c r="J283" s="37"/>
      <c r="K283" s="37"/>
      <c r="L283" s="37"/>
      <c r="M283" s="37"/>
      <c r="O283" s="39"/>
      <c r="P283" s="37"/>
    </row>
    <row r="284" spans="4:16">
      <c r="D284" s="596"/>
      <c r="G284" s="37"/>
      <c r="H284" s="37"/>
      <c r="I284" s="37"/>
      <c r="J284" s="37"/>
      <c r="K284" s="37"/>
      <c r="L284" s="37"/>
      <c r="M284" s="37"/>
      <c r="O284" s="39"/>
      <c r="P284" s="37"/>
    </row>
    <row r="285" spans="4:16">
      <c r="D285" s="596"/>
      <c r="G285" s="37"/>
      <c r="H285" s="37"/>
      <c r="I285" s="37"/>
      <c r="J285" s="37"/>
      <c r="K285" s="37"/>
      <c r="L285" s="37"/>
      <c r="M285" s="37"/>
      <c r="O285" s="39"/>
      <c r="P285" s="37"/>
    </row>
    <row r="286" spans="4:16">
      <c r="D286" s="596"/>
      <c r="G286" s="37"/>
      <c r="H286" s="37"/>
      <c r="I286" s="37"/>
      <c r="J286" s="37"/>
      <c r="K286" s="37"/>
      <c r="L286" s="37"/>
      <c r="M286" s="37"/>
      <c r="O286" s="39"/>
      <c r="P286" s="37"/>
    </row>
    <row r="287" spans="4:16">
      <c r="D287" s="596"/>
      <c r="G287" s="37"/>
      <c r="H287" s="37"/>
      <c r="I287" s="37"/>
      <c r="J287" s="37"/>
      <c r="K287" s="37"/>
      <c r="L287" s="37"/>
      <c r="M287" s="37"/>
      <c r="O287" s="39"/>
      <c r="P287" s="37"/>
    </row>
    <row r="288" spans="4:16">
      <c r="D288" s="596"/>
      <c r="G288" s="37"/>
      <c r="H288" s="37"/>
      <c r="I288" s="37"/>
      <c r="J288" s="37"/>
      <c r="K288" s="37"/>
      <c r="L288" s="37"/>
      <c r="M288" s="37"/>
      <c r="O288" s="39"/>
      <c r="P288" s="37"/>
    </row>
    <row r="289" spans="4:16">
      <c r="D289" s="596"/>
      <c r="G289" s="37"/>
      <c r="H289" s="37"/>
      <c r="I289" s="37"/>
      <c r="J289" s="37"/>
      <c r="K289" s="37"/>
      <c r="L289" s="37"/>
      <c r="M289" s="37"/>
      <c r="O289" s="39"/>
      <c r="P289" s="37"/>
    </row>
    <row r="290" spans="4:16">
      <c r="D290" s="596"/>
      <c r="G290" s="37"/>
      <c r="H290" s="37"/>
      <c r="I290" s="37"/>
      <c r="J290" s="37"/>
      <c r="K290" s="37"/>
      <c r="L290" s="37"/>
      <c r="M290" s="37"/>
      <c r="O290" s="39"/>
      <c r="P290" s="37"/>
    </row>
    <row r="291" spans="4:16">
      <c r="D291" s="596"/>
      <c r="G291" s="37"/>
      <c r="H291" s="37"/>
      <c r="I291" s="37"/>
      <c r="J291" s="37"/>
      <c r="K291" s="37"/>
      <c r="L291" s="37"/>
      <c r="M291" s="37"/>
      <c r="O291" s="39"/>
      <c r="P291" s="37"/>
    </row>
    <row r="292" spans="4:16">
      <c r="D292" s="596"/>
      <c r="G292" s="37"/>
      <c r="H292" s="37"/>
      <c r="I292" s="37"/>
      <c r="J292" s="37"/>
      <c r="K292" s="37"/>
      <c r="L292" s="37"/>
      <c r="M292" s="37"/>
      <c r="O292" s="39"/>
      <c r="P292" s="37"/>
    </row>
    <row r="293" spans="4:16">
      <c r="D293" s="596"/>
      <c r="G293" s="37"/>
      <c r="H293" s="37"/>
      <c r="I293" s="37"/>
      <c r="J293" s="37"/>
      <c r="K293" s="37"/>
      <c r="L293" s="37"/>
      <c r="M293" s="37"/>
      <c r="O293" s="39"/>
      <c r="P293" s="37"/>
    </row>
    <row r="294" spans="4:16">
      <c r="D294" s="596"/>
      <c r="G294" s="37"/>
      <c r="H294" s="37"/>
      <c r="I294" s="37"/>
      <c r="J294" s="37"/>
      <c r="K294" s="37"/>
      <c r="L294" s="37"/>
      <c r="M294" s="37"/>
      <c r="O294" s="39"/>
      <c r="P294" s="37"/>
    </row>
    <row r="295" spans="4:16">
      <c r="D295" s="596"/>
      <c r="G295" s="37"/>
      <c r="H295" s="37"/>
      <c r="I295" s="37"/>
      <c r="J295" s="37"/>
      <c r="K295" s="37"/>
      <c r="L295" s="37"/>
      <c r="M295" s="37"/>
      <c r="O295" s="39"/>
      <c r="P295" s="37"/>
    </row>
    <row r="296" spans="4:16">
      <c r="D296" s="596"/>
      <c r="G296" s="37"/>
      <c r="H296" s="37"/>
      <c r="I296" s="37"/>
      <c r="J296" s="37"/>
      <c r="K296" s="37"/>
      <c r="L296" s="37"/>
      <c r="M296" s="37"/>
      <c r="O296" s="39"/>
      <c r="P296" s="37"/>
    </row>
    <row r="297" spans="4:16">
      <c r="D297" s="596"/>
      <c r="G297" s="37"/>
      <c r="H297" s="37"/>
      <c r="I297" s="37"/>
      <c r="J297" s="37"/>
      <c r="K297" s="37"/>
      <c r="L297" s="37"/>
      <c r="M297" s="37"/>
      <c r="O297" s="39"/>
      <c r="P297" s="37"/>
    </row>
    <row r="298" spans="4:16">
      <c r="D298" s="596"/>
      <c r="G298" s="37"/>
      <c r="H298" s="37"/>
      <c r="I298" s="37"/>
      <c r="J298" s="37"/>
      <c r="K298" s="37"/>
      <c r="L298" s="37"/>
      <c r="M298" s="37"/>
      <c r="O298" s="39"/>
      <c r="P298" s="37"/>
    </row>
    <row r="299" spans="4:16">
      <c r="D299" s="596"/>
      <c r="G299" s="37"/>
      <c r="H299" s="37"/>
      <c r="I299" s="37"/>
      <c r="J299" s="37"/>
      <c r="K299" s="37"/>
      <c r="L299" s="37"/>
      <c r="M299" s="37"/>
      <c r="O299" s="39"/>
      <c r="P299" s="37"/>
    </row>
    <row r="300" spans="4:16">
      <c r="D300" s="596"/>
      <c r="G300" s="37"/>
      <c r="H300" s="37"/>
      <c r="I300" s="37"/>
      <c r="J300" s="37"/>
      <c r="K300" s="37"/>
      <c r="L300" s="37"/>
      <c r="M300" s="37"/>
      <c r="O300" s="39"/>
      <c r="P300" s="37"/>
    </row>
    <row r="301" spans="4:16">
      <c r="D301" s="596"/>
      <c r="G301" s="37"/>
      <c r="H301" s="37"/>
      <c r="I301" s="37"/>
      <c r="J301" s="37"/>
      <c r="K301" s="37"/>
      <c r="L301" s="37"/>
      <c r="M301" s="37"/>
      <c r="O301" s="39"/>
      <c r="P301" s="37"/>
    </row>
    <row r="302" spans="4:16">
      <c r="D302" s="596"/>
      <c r="G302" s="37"/>
      <c r="H302" s="37"/>
      <c r="I302" s="37"/>
      <c r="J302" s="37"/>
      <c r="K302" s="37"/>
      <c r="L302" s="37"/>
      <c r="M302" s="37"/>
      <c r="O302" s="39"/>
      <c r="P302" s="37"/>
    </row>
    <row r="303" spans="4:16">
      <c r="D303" s="596"/>
      <c r="G303" s="37"/>
      <c r="H303" s="37"/>
      <c r="I303" s="37"/>
      <c r="J303" s="37"/>
      <c r="K303" s="37"/>
      <c r="L303" s="37"/>
      <c r="M303" s="37"/>
      <c r="O303" s="39"/>
      <c r="P303" s="37"/>
    </row>
    <row r="304" spans="4:16">
      <c r="D304" s="596"/>
      <c r="G304" s="37"/>
      <c r="H304" s="37"/>
      <c r="I304" s="37"/>
      <c r="J304" s="37"/>
      <c r="K304" s="37"/>
      <c r="L304" s="37"/>
      <c r="M304" s="37"/>
      <c r="O304" s="39"/>
      <c r="P304" s="37"/>
    </row>
    <row r="305" spans="4:16">
      <c r="D305" s="596"/>
      <c r="G305" s="37"/>
      <c r="H305" s="37"/>
      <c r="I305" s="37"/>
      <c r="J305" s="37"/>
      <c r="K305" s="37"/>
      <c r="L305" s="37"/>
      <c r="M305" s="37"/>
      <c r="O305" s="39"/>
      <c r="P305" s="37"/>
    </row>
    <row r="306" spans="4:16">
      <c r="D306" s="596"/>
      <c r="G306" s="37"/>
      <c r="H306" s="37"/>
      <c r="I306" s="37"/>
      <c r="J306" s="37"/>
      <c r="K306" s="37"/>
      <c r="L306" s="37"/>
      <c r="M306" s="37"/>
      <c r="O306" s="39"/>
      <c r="P306" s="37"/>
    </row>
    <row r="307" spans="4:16">
      <c r="D307" s="596"/>
      <c r="G307" s="37"/>
      <c r="H307" s="37"/>
      <c r="I307" s="37"/>
      <c r="J307" s="37"/>
      <c r="K307" s="37"/>
      <c r="L307" s="37"/>
      <c r="M307" s="37"/>
      <c r="O307" s="39"/>
      <c r="P307" s="37"/>
    </row>
    <row r="308" spans="4:16">
      <c r="D308" s="596"/>
      <c r="G308" s="37"/>
      <c r="H308" s="37"/>
      <c r="I308" s="37"/>
      <c r="J308" s="37"/>
      <c r="K308" s="37"/>
      <c r="L308" s="37"/>
      <c r="M308" s="37"/>
      <c r="O308" s="39"/>
      <c r="P308" s="37"/>
    </row>
    <row r="309" spans="4:16">
      <c r="D309" s="596"/>
      <c r="G309" s="37"/>
      <c r="H309" s="37"/>
      <c r="I309" s="37"/>
      <c r="J309" s="37"/>
      <c r="K309" s="37"/>
      <c r="L309" s="37"/>
      <c r="M309" s="37"/>
      <c r="O309" s="39"/>
      <c r="P309" s="37"/>
    </row>
    <row r="310" spans="4:16">
      <c r="D310" s="596"/>
      <c r="G310" s="37"/>
      <c r="H310" s="37"/>
      <c r="I310" s="37"/>
      <c r="J310" s="37"/>
      <c r="K310" s="37"/>
      <c r="L310" s="37"/>
      <c r="M310" s="37"/>
      <c r="O310" s="39"/>
      <c r="P310" s="37"/>
    </row>
    <row r="311" spans="4:16">
      <c r="D311" s="596"/>
      <c r="G311" s="37"/>
      <c r="H311" s="37"/>
      <c r="I311" s="37"/>
      <c r="J311" s="37"/>
      <c r="K311" s="37"/>
      <c r="L311" s="37"/>
      <c r="M311" s="37"/>
      <c r="O311" s="39"/>
      <c r="P311" s="37"/>
    </row>
    <row r="312" spans="4:16">
      <c r="D312" s="596"/>
      <c r="G312" s="37"/>
      <c r="H312" s="37"/>
      <c r="I312" s="37"/>
      <c r="J312" s="37"/>
      <c r="K312" s="37"/>
      <c r="L312" s="37"/>
      <c r="M312" s="37"/>
      <c r="O312" s="39"/>
      <c r="P312" s="37"/>
    </row>
    <row r="313" spans="4:16">
      <c r="D313" s="596"/>
      <c r="G313" s="37"/>
      <c r="H313" s="37"/>
      <c r="I313" s="37"/>
      <c r="J313" s="37"/>
      <c r="K313" s="37"/>
      <c r="L313" s="37"/>
      <c r="M313" s="37"/>
      <c r="O313" s="39"/>
      <c r="P313" s="37"/>
    </row>
    <row r="314" spans="4:16">
      <c r="D314" s="596"/>
      <c r="G314" s="37"/>
      <c r="H314" s="37"/>
      <c r="I314" s="37"/>
      <c r="J314" s="37"/>
      <c r="K314" s="37"/>
      <c r="L314" s="37"/>
      <c r="M314" s="37"/>
      <c r="O314" s="39"/>
      <c r="P314" s="37"/>
    </row>
    <row r="315" spans="4:16">
      <c r="D315" s="596"/>
      <c r="G315" s="37"/>
      <c r="H315" s="37"/>
      <c r="I315" s="37"/>
      <c r="J315" s="37"/>
      <c r="K315" s="37"/>
      <c r="L315" s="37"/>
      <c r="M315" s="37"/>
      <c r="O315" s="39"/>
      <c r="P315" s="37"/>
    </row>
    <row r="316" spans="4:16">
      <c r="D316" s="596"/>
      <c r="G316" s="37"/>
      <c r="H316" s="37"/>
      <c r="I316" s="37"/>
      <c r="J316" s="37"/>
      <c r="K316" s="37"/>
      <c r="L316" s="37"/>
      <c r="M316" s="37"/>
      <c r="O316" s="39"/>
      <c r="P316" s="37"/>
    </row>
    <row r="317" spans="4:16">
      <c r="D317" s="596"/>
      <c r="G317" s="37"/>
      <c r="H317" s="37"/>
      <c r="I317" s="37"/>
      <c r="J317" s="37"/>
      <c r="K317" s="37"/>
      <c r="L317" s="37"/>
      <c r="M317" s="37"/>
      <c r="O317" s="39"/>
      <c r="P317" s="37"/>
    </row>
    <row r="318" spans="4:16">
      <c r="D318" s="596"/>
      <c r="G318" s="37"/>
      <c r="H318" s="37"/>
      <c r="I318" s="37"/>
      <c r="J318" s="37"/>
      <c r="K318" s="37"/>
      <c r="L318" s="37"/>
      <c r="M318" s="37"/>
      <c r="O318" s="39"/>
      <c r="P318" s="37"/>
    </row>
    <row r="319" spans="4:16">
      <c r="D319" s="596"/>
      <c r="G319" s="37"/>
      <c r="H319" s="37"/>
      <c r="I319" s="37"/>
      <c r="J319" s="37"/>
      <c r="K319" s="37"/>
      <c r="L319" s="37"/>
      <c r="M319" s="37"/>
      <c r="O319" s="39"/>
      <c r="P319" s="37"/>
    </row>
    <row r="320" spans="4:16">
      <c r="D320" s="596"/>
      <c r="G320" s="37"/>
      <c r="H320" s="37"/>
      <c r="I320" s="37"/>
      <c r="J320" s="37"/>
      <c r="K320" s="37"/>
      <c r="L320" s="37"/>
      <c r="M320" s="37"/>
      <c r="O320" s="39"/>
      <c r="P320" s="37"/>
    </row>
    <row r="321" spans="4:16">
      <c r="D321" s="596"/>
      <c r="G321" s="37"/>
      <c r="H321" s="37"/>
      <c r="I321" s="37"/>
      <c r="J321" s="37"/>
      <c r="K321" s="37"/>
      <c r="L321" s="37"/>
      <c r="M321" s="37"/>
      <c r="O321" s="39"/>
      <c r="P321" s="37"/>
    </row>
    <row r="322" spans="4:16">
      <c r="D322" s="596"/>
      <c r="G322" s="37"/>
      <c r="H322" s="37"/>
      <c r="I322" s="37"/>
      <c r="J322" s="37"/>
      <c r="K322" s="37"/>
      <c r="L322" s="37"/>
      <c r="M322" s="37"/>
      <c r="O322" s="39"/>
      <c r="P322" s="37"/>
    </row>
    <row r="323" spans="4:16">
      <c r="D323" s="596"/>
      <c r="G323" s="37"/>
      <c r="H323" s="37"/>
      <c r="I323" s="37"/>
      <c r="J323" s="37"/>
      <c r="K323" s="37"/>
      <c r="L323" s="37"/>
      <c r="M323" s="37"/>
      <c r="O323" s="39"/>
      <c r="P323" s="37"/>
    </row>
    <row r="324" spans="4:16">
      <c r="D324" s="596"/>
      <c r="G324" s="37"/>
      <c r="H324" s="37"/>
      <c r="I324" s="37"/>
      <c r="J324" s="37"/>
      <c r="K324" s="37"/>
      <c r="L324" s="37"/>
      <c r="M324" s="37"/>
      <c r="O324" s="39"/>
      <c r="P324" s="37"/>
    </row>
    <row r="325" spans="4:16">
      <c r="D325" s="596"/>
      <c r="G325" s="37"/>
      <c r="H325" s="37"/>
      <c r="I325" s="37"/>
      <c r="J325" s="37"/>
      <c r="K325" s="37"/>
      <c r="L325" s="37"/>
      <c r="M325" s="37"/>
      <c r="O325" s="39"/>
      <c r="P325" s="37"/>
    </row>
    <row r="326" spans="4:16">
      <c r="D326" s="596"/>
      <c r="G326" s="37"/>
      <c r="H326" s="37"/>
      <c r="I326" s="37"/>
      <c r="J326" s="37"/>
      <c r="K326" s="37"/>
      <c r="L326" s="37"/>
      <c r="M326" s="37"/>
      <c r="O326" s="39"/>
      <c r="P326" s="37"/>
    </row>
    <row r="327" spans="4:16">
      <c r="D327" s="596"/>
      <c r="G327" s="37"/>
      <c r="H327" s="37"/>
      <c r="I327" s="37"/>
      <c r="J327" s="37"/>
      <c r="K327" s="37"/>
      <c r="L327" s="37"/>
      <c r="M327" s="37"/>
      <c r="O327" s="39"/>
      <c r="P327" s="37"/>
    </row>
    <row r="328" spans="4:16">
      <c r="D328" s="596"/>
      <c r="G328" s="37"/>
      <c r="H328" s="37"/>
      <c r="I328" s="37"/>
      <c r="J328" s="37"/>
      <c r="K328" s="37"/>
      <c r="L328" s="37"/>
      <c r="M328" s="37"/>
      <c r="O328" s="39"/>
      <c r="P328" s="37"/>
    </row>
    <row r="329" spans="4:16">
      <c r="D329" s="596"/>
      <c r="G329" s="37"/>
      <c r="H329" s="37"/>
      <c r="I329" s="37"/>
      <c r="J329" s="37"/>
      <c r="K329" s="37"/>
      <c r="L329" s="37"/>
      <c r="M329" s="37"/>
      <c r="O329" s="39"/>
      <c r="P329" s="37"/>
    </row>
    <row r="330" spans="4:16">
      <c r="D330" s="596"/>
      <c r="G330" s="37"/>
      <c r="H330" s="37"/>
      <c r="I330" s="37"/>
      <c r="J330" s="37"/>
      <c r="K330" s="37"/>
      <c r="L330" s="37"/>
      <c r="M330" s="37"/>
      <c r="O330" s="39"/>
      <c r="P330" s="37"/>
    </row>
    <row r="331" spans="4:16">
      <c r="D331" s="596"/>
      <c r="G331" s="37"/>
      <c r="H331" s="37"/>
      <c r="I331" s="37"/>
      <c r="J331" s="37"/>
      <c r="K331" s="37"/>
      <c r="L331" s="37"/>
      <c r="M331" s="37"/>
      <c r="O331" s="39"/>
      <c r="P331" s="37"/>
    </row>
    <row r="332" spans="4:16">
      <c r="D332" s="596"/>
      <c r="G332" s="37"/>
      <c r="H332" s="37"/>
      <c r="I332" s="37"/>
      <c r="J332" s="37"/>
      <c r="K332" s="37"/>
      <c r="L332" s="37"/>
      <c r="M332" s="37"/>
      <c r="O332" s="39"/>
      <c r="P332" s="37"/>
    </row>
    <row r="333" spans="4:16">
      <c r="D333" s="596"/>
      <c r="G333" s="37"/>
      <c r="H333" s="37"/>
      <c r="I333" s="37"/>
      <c r="J333" s="37"/>
      <c r="K333" s="37"/>
      <c r="L333" s="37"/>
      <c r="M333" s="37"/>
      <c r="O333" s="39"/>
      <c r="P333" s="37"/>
    </row>
    <row r="334" spans="4:16">
      <c r="D334" s="596"/>
      <c r="G334" s="37"/>
      <c r="H334" s="37"/>
      <c r="I334" s="37"/>
      <c r="J334" s="37"/>
      <c r="K334" s="37"/>
      <c r="L334" s="37"/>
      <c r="M334" s="37"/>
      <c r="O334" s="39"/>
      <c r="P334" s="37"/>
    </row>
    <row r="335" spans="4:16">
      <c r="D335" s="596"/>
      <c r="G335" s="37"/>
      <c r="H335" s="37"/>
      <c r="I335" s="37"/>
      <c r="J335" s="37"/>
      <c r="K335" s="37"/>
      <c r="L335" s="37"/>
      <c r="M335" s="37"/>
      <c r="O335" s="39"/>
      <c r="P335" s="37"/>
    </row>
    <row r="336" spans="4:16">
      <c r="D336" s="596"/>
      <c r="G336" s="37"/>
      <c r="H336" s="37"/>
      <c r="I336" s="37"/>
      <c r="J336" s="37"/>
      <c r="K336" s="37"/>
      <c r="L336" s="37"/>
      <c r="M336" s="37"/>
      <c r="O336" s="39"/>
      <c r="P336" s="37"/>
    </row>
    <row r="337" spans="4:16">
      <c r="D337" s="596"/>
      <c r="G337" s="37"/>
      <c r="H337" s="37"/>
      <c r="I337" s="37"/>
      <c r="J337" s="37"/>
      <c r="K337" s="37"/>
      <c r="L337" s="37"/>
      <c r="M337" s="37"/>
      <c r="O337" s="39"/>
      <c r="P337" s="37"/>
    </row>
    <row r="338" spans="4:16">
      <c r="D338" s="596"/>
      <c r="G338" s="37"/>
      <c r="H338" s="37"/>
      <c r="I338" s="37"/>
      <c r="J338" s="37"/>
      <c r="K338" s="37"/>
      <c r="L338" s="37"/>
      <c r="M338" s="37"/>
      <c r="O338" s="39"/>
      <c r="P338" s="37"/>
    </row>
    <row r="339" spans="4:16">
      <c r="D339" s="596"/>
      <c r="G339" s="37"/>
      <c r="H339" s="37"/>
      <c r="I339" s="37"/>
      <c r="J339" s="37"/>
      <c r="K339" s="37"/>
      <c r="L339" s="37"/>
      <c r="M339" s="37"/>
      <c r="O339" s="39"/>
      <c r="P339" s="37"/>
    </row>
    <row r="340" spans="4:16">
      <c r="D340" s="596"/>
      <c r="G340" s="37"/>
      <c r="H340" s="37"/>
      <c r="I340" s="37"/>
      <c r="J340" s="37"/>
      <c r="K340" s="37"/>
      <c r="L340" s="37"/>
      <c r="M340" s="37"/>
      <c r="O340" s="39"/>
      <c r="P340" s="37"/>
    </row>
    <row r="341" spans="4:16">
      <c r="D341" s="596"/>
      <c r="G341" s="37"/>
      <c r="H341" s="37"/>
      <c r="I341" s="37"/>
      <c r="J341" s="37"/>
      <c r="K341" s="37"/>
      <c r="L341" s="37"/>
      <c r="M341" s="37"/>
      <c r="O341" s="39"/>
      <c r="P341" s="37"/>
    </row>
    <row r="342" spans="4:16">
      <c r="D342" s="596"/>
      <c r="G342" s="37"/>
      <c r="H342" s="37"/>
      <c r="I342" s="37"/>
      <c r="J342" s="37"/>
      <c r="K342" s="37"/>
      <c r="L342" s="37"/>
      <c r="M342" s="37"/>
      <c r="O342" s="39"/>
      <c r="P342" s="37"/>
    </row>
    <row r="343" spans="4:16">
      <c r="D343" s="596"/>
      <c r="G343" s="37"/>
      <c r="H343" s="37"/>
      <c r="I343" s="37"/>
      <c r="J343" s="37"/>
      <c r="K343" s="37"/>
      <c r="L343" s="37"/>
      <c r="M343" s="37"/>
      <c r="O343" s="39"/>
      <c r="P343" s="37"/>
    </row>
    <row r="344" spans="4:16">
      <c r="D344" s="596"/>
      <c r="G344" s="37"/>
      <c r="H344" s="37"/>
      <c r="I344" s="37"/>
      <c r="J344" s="37"/>
      <c r="K344" s="37"/>
      <c r="L344" s="37"/>
      <c r="M344" s="37"/>
      <c r="O344" s="39"/>
      <c r="P344" s="37"/>
    </row>
    <row r="345" spans="4:16">
      <c r="D345" s="596"/>
      <c r="G345" s="37"/>
      <c r="H345" s="37"/>
      <c r="I345" s="37"/>
      <c r="J345" s="37"/>
      <c r="K345" s="37"/>
      <c r="L345" s="37"/>
      <c r="M345" s="37"/>
      <c r="O345" s="39"/>
      <c r="P345" s="37"/>
    </row>
    <row r="346" spans="4:16">
      <c r="D346" s="596"/>
      <c r="G346" s="37"/>
      <c r="H346" s="37"/>
      <c r="I346" s="37"/>
      <c r="J346" s="37"/>
      <c r="K346" s="37"/>
      <c r="L346" s="37"/>
      <c r="M346" s="37"/>
      <c r="O346" s="39"/>
      <c r="P346" s="37"/>
    </row>
    <row r="347" spans="4:16">
      <c r="D347" s="596"/>
      <c r="G347" s="37"/>
      <c r="H347" s="37"/>
      <c r="I347" s="37"/>
      <c r="J347" s="37"/>
      <c r="K347" s="37"/>
      <c r="L347" s="37"/>
      <c r="M347" s="37"/>
      <c r="O347" s="39"/>
      <c r="P347" s="37"/>
    </row>
    <row r="348" spans="4:16">
      <c r="D348" s="596"/>
      <c r="G348" s="37"/>
      <c r="H348" s="37"/>
      <c r="I348" s="37"/>
      <c r="J348" s="37"/>
      <c r="K348" s="37"/>
      <c r="L348" s="37"/>
      <c r="M348" s="37"/>
      <c r="O348" s="39"/>
      <c r="P348" s="37"/>
    </row>
    <row r="349" spans="4:16">
      <c r="D349" s="596"/>
      <c r="G349" s="37"/>
      <c r="H349" s="37"/>
      <c r="I349" s="37"/>
      <c r="J349" s="37"/>
      <c r="K349" s="37"/>
      <c r="L349" s="37"/>
      <c r="M349" s="37"/>
      <c r="O349" s="39"/>
      <c r="P349" s="37"/>
    </row>
    <row r="350" spans="4:16">
      <c r="D350" s="596"/>
      <c r="G350" s="37"/>
      <c r="H350" s="37"/>
      <c r="I350" s="37"/>
      <c r="J350" s="37"/>
      <c r="K350" s="37"/>
      <c r="L350" s="37"/>
      <c r="M350" s="37"/>
      <c r="O350" s="39"/>
      <c r="P350" s="37"/>
    </row>
    <row r="351" spans="4:16">
      <c r="D351" s="596"/>
      <c r="G351" s="37"/>
      <c r="H351" s="37"/>
      <c r="I351" s="37"/>
      <c r="J351" s="37"/>
      <c r="K351" s="37"/>
      <c r="L351" s="37"/>
      <c r="M351" s="37"/>
      <c r="O351" s="39"/>
      <c r="P351" s="37"/>
    </row>
    <row r="352" spans="4:16">
      <c r="D352" s="596"/>
      <c r="G352" s="37"/>
      <c r="H352" s="37"/>
      <c r="I352" s="37"/>
      <c r="J352" s="37"/>
      <c r="K352" s="37"/>
      <c r="L352" s="37"/>
      <c r="M352" s="37"/>
      <c r="O352" s="39"/>
      <c r="P352" s="37"/>
    </row>
    <row r="353" spans="4:16">
      <c r="D353" s="596"/>
      <c r="G353" s="37"/>
      <c r="H353" s="37"/>
      <c r="I353" s="37"/>
      <c r="J353" s="37"/>
      <c r="K353" s="37"/>
      <c r="L353" s="37"/>
      <c r="M353" s="37"/>
      <c r="O353" s="39"/>
      <c r="P353" s="37"/>
    </row>
    <row r="354" spans="4:16">
      <c r="D354" s="596"/>
      <c r="G354" s="37"/>
      <c r="H354" s="37"/>
      <c r="I354" s="37"/>
      <c r="J354" s="37"/>
      <c r="K354" s="37"/>
      <c r="L354" s="37"/>
      <c r="M354" s="37"/>
      <c r="O354" s="39"/>
      <c r="P354" s="37"/>
    </row>
    <row r="355" spans="4:16">
      <c r="D355" s="596"/>
      <c r="G355" s="37"/>
      <c r="H355" s="37"/>
      <c r="I355" s="37"/>
      <c r="J355" s="37"/>
      <c r="K355" s="37"/>
      <c r="L355" s="37"/>
      <c r="M355" s="37"/>
      <c r="O355" s="39"/>
      <c r="P355" s="37"/>
    </row>
    <row r="356" spans="4:16">
      <c r="D356" s="596"/>
      <c r="G356" s="37"/>
      <c r="H356" s="37"/>
      <c r="I356" s="37"/>
      <c r="J356" s="37"/>
      <c r="K356" s="37"/>
      <c r="L356" s="37"/>
      <c r="M356" s="37"/>
      <c r="O356" s="39"/>
      <c r="P356" s="37"/>
    </row>
    <row r="357" spans="4:16">
      <c r="D357" s="596"/>
      <c r="G357" s="37"/>
      <c r="H357" s="37"/>
      <c r="I357" s="37"/>
      <c r="J357" s="37"/>
      <c r="K357" s="37"/>
      <c r="L357" s="37"/>
      <c r="M357" s="37"/>
      <c r="O357" s="39"/>
      <c r="P357" s="37"/>
    </row>
    <row r="358" spans="4:16">
      <c r="D358" s="596"/>
      <c r="G358" s="37"/>
      <c r="H358" s="37"/>
      <c r="I358" s="37"/>
      <c r="J358" s="37"/>
      <c r="K358" s="37"/>
      <c r="L358" s="37"/>
      <c r="M358" s="37"/>
      <c r="O358" s="39"/>
      <c r="P358" s="37"/>
    </row>
    <row r="359" spans="4:16">
      <c r="D359" s="596"/>
      <c r="G359" s="37"/>
      <c r="H359" s="37"/>
      <c r="I359" s="37"/>
      <c r="J359" s="37"/>
      <c r="K359" s="37"/>
      <c r="L359" s="37"/>
      <c r="M359" s="37"/>
      <c r="O359" s="39"/>
      <c r="P359" s="37"/>
    </row>
    <row r="360" spans="4:16">
      <c r="D360" s="596"/>
      <c r="G360" s="37"/>
      <c r="H360" s="37"/>
      <c r="I360" s="37"/>
      <c r="J360" s="37"/>
      <c r="K360" s="37"/>
      <c r="L360" s="37"/>
      <c r="M360" s="37"/>
      <c r="O360" s="39"/>
      <c r="P360" s="37"/>
    </row>
    <row r="361" spans="4:16">
      <c r="D361" s="596"/>
      <c r="G361" s="37"/>
      <c r="H361" s="37"/>
      <c r="I361" s="37"/>
      <c r="J361" s="37"/>
      <c r="K361" s="37"/>
      <c r="L361" s="37"/>
      <c r="M361" s="37"/>
      <c r="O361" s="39"/>
      <c r="P361" s="37"/>
    </row>
    <row r="362" spans="4:16">
      <c r="D362" s="596"/>
      <c r="G362" s="37"/>
      <c r="H362" s="37"/>
      <c r="I362" s="37"/>
      <c r="J362" s="37"/>
      <c r="K362" s="37"/>
      <c r="L362" s="37"/>
      <c r="M362" s="37"/>
      <c r="O362" s="39"/>
      <c r="P362" s="37"/>
    </row>
    <row r="363" spans="4:16">
      <c r="D363" s="596"/>
      <c r="G363" s="37"/>
      <c r="H363" s="37"/>
      <c r="I363" s="37"/>
      <c r="J363" s="37"/>
      <c r="K363" s="37"/>
      <c r="L363" s="37"/>
      <c r="M363" s="37"/>
      <c r="O363" s="39"/>
      <c r="P363" s="37"/>
    </row>
    <row r="364" spans="4:16">
      <c r="D364" s="596"/>
      <c r="G364" s="37"/>
      <c r="H364" s="37"/>
      <c r="I364" s="37"/>
      <c r="J364" s="37"/>
      <c r="K364" s="37"/>
      <c r="L364" s="37"/>
      <c r="M364" s="37"/>
      <c r="O364" s="39"/>
      <c r="P364" s="37"/>
    </row>
    <row r="365" spans="4:16">
      <c r="D365" s="596"/>
      <c r="G365" s="37"/>
      <c r="H365" s="37"/>
      <c r="I365" s="37"/>
      <c r="J365" s="37"/>
      <c r="K365" s="37"/>
      <c r="L365" s="37"/>
      <c r="M365" s="37"/>
      <c r="O365" s="39"/>
      <c r="P365" s="37"/>
    </row>
    <row r="366" spans="4:16">
      <c r="D366" s="596"/>
      <c r="G366" s="37"/>
      <c r="H366" s="37"/>
      <c r="I366" s="37"/>
      <c r="J366" s="37"/>
      <c r="K366" s="37"/>
      <c r="L366" s="37"/>
      <c r="M366" s="37"/>
      <c r="O366" s="39"/>
      <c r="P366" s="37"/>
    </row>
    <row r="367" spans="4:16">
      <c r="D367" s="596"/>
      <c r="G367" s="37"/>
      <c r="H367" s="37"/>
      <c r="I367" s="37"/>
      <c r="J367" s="37"/>
      <c r="K367" s="37"/>
      <c r="L367" s="37"/>
      <c r="M367" s="37"/>
      <c r="O367" s="39"/>
      <c r="P367" s="37"/>
    </row>
    <row r="368" spans="4:16">
      <c r="D368" s="596"/>
      <c r="G368" s="37"/>
      <c r="H368" s="37"/>
      <c r="I368" s="37"/>
      <c r="J368" s="37"/>
      <c r="K368" s="37"/>
      <c r="L368" s="37"/>
      <c r="M368" s="37"/>
      <c r="O368" s="39"/>
      <c r="P368" s="37"/>
    </row>
    <row r="369" spans="4:16">
      <c r="D369" s="596"/>
      <c r="G369" s="37"/>
      <c r="H369" s="37"/>
      <c r="I369" s="37"/>
      <c r="J369" s="37"/>
      <c r="K369" s="37"/>
      <c r="L369" s="37"/>
      <c r="M369" s="37"/>
      <c r="O369" s="39"/>
      <c r="P369" s="37"/>
    </row>
    <row r="370" spans="4:16">
      <c r="D370" s="596"/>
      <c r="G370" s="37"/>
      <c r="H370" s="37"/>
      <c r="I370" s="37"/>
      <c r="J370" s="37"/>
      <c r="K370" s="37"/>
      <c r="L370" s="37"/>
      <c r="M370" s="37"/>
      <c r="O370" s="39"/>
      <c r="P370" s="37"/>
    </row>
    <row r="371" spans="4:16">
      <c r="D371" s="596"/>
      <c r="G371" s="37"/>
      <c r="H371" s="37"/>
      <c r="I371" s="37"/>
      <c r="J371" s="37"/>
      <c r="K371" s="37"/>
      <c r="L371" s="37"/>
      <c r="M371" s="37"/>
      <c r="O371" s="39"/>
      <c r="P371" s="37"/>
    </row>
    <row r="372" spans="4:16">
      <c r="D372" s="596"/>
      <c r="G372" s="37"/>
      <c r="H372" s="37"/>
      <c r="I372" s="37"/>
      <c r="J372" s="37"/>
      <c r="K372" s="37"/>
      <c r="L372" s="37"/>
      <c r="M372" s="37"/>
      <c r="O372" s="39"/>
      <c r="P372" s="37"/>
    </row>
    <row r="373" spans="4:16">
      <c r="D373" s="596"/>
      <c r="G373" s="37"/>
      <c r="H373" s="37"/>
      <c r="I373" s="37"/>
      <c r="J373" s="37"/>
      <c r="K373" s="37"/>
      <c r="L373" s="37"/>
      <c r="M373" s="37"/>
      <c r="O373" s="39"/>
      <c r="P373" s="37"/>
    </row>
    <row r="374" spans="4:16">
      <c r="D374" s="596"/>
      <c r="G374" s="37"/>
      <c r="H374" s="37"/>
      <c r="I374" s="37"/>
      <c r="J374" s="37"/>
      <c r="K374" s="37"/>
      <c r="L374" s="37"/>
      <c r="M374" s="37"/>
      <c r="O374" s="39"/>
      <c r="P374" s="37"/>
    </row>
    <row r="375" spans="4:16">
      <c r="D375" s="596"/>
      <c r="G375" s="37"/>
      <c r="H375" s="37"/>
      <c r="I375" s="37"/>
      <c r="J375" s="37"/>
      <c r="K375" s="37"/>
      <c r="L375" s="37"/>
      <c r="M375" s="37"/>
      <c r="O375" s="39"/>
      <c r="P375" s="37"/>
    </row>
    <row r="376" spans="4:16">
      <c r="D376" s="596"/>
      <c r="G376" s="37"/>
      <c r="H376" s="37"/>
      <c r="I376" s="37"/>
      <c r="J376" s="37"/>
      <c r="K376" s="37"/>
      <c r="L376" s="37"/>
      <c r="M376" s="37"/>
      <c r="O376" s="39"/>
      <c r="P376" s="37"/>
    </row>
    <row r="377" spans="4:16">
      <c r="D377" s="596"/>
      <c r="G377" s="37"/>
      <c r="H377" s="37"/>
      <c r="I377" s="37"/>
      <c r="J377" s="37"/>
      <c r="K377" s="37"/>
      <c r="L377" s="37"/>
      <c r="M377" s="37"/>
      <c r="O377" s="39"/>
      <c r="P377" s="37"/>
    </row>
    <row r="378" spans="4:16">
      <c r="D378" s="596"/>
      <c r="G378" s="37"/>
      <c r="H378" s="37"/>
      <c r="I378" s="37"/>
      <c r="J378" s="37"/>
      <c r="K378" s="37"/>
      <c r="L378" s="37"/>
      <c r="M378" s="37"/>
      <c r="O378" s="39"/>
      <c r="P378" s="37"/>
    </row>
    <row r="379" spans="4:16">
      <c r="D379" s="596"/>
      <c r="G379" s="37"/>
      <c r="H379" s="37"/>
      <c r="I379" s="37"/>
      <c r="J379" s="37"/>
      <c r="K379" s="37"/>
      <c r="L379" s="37"/>
      <c r="M379" s="37"/>
      <c r="O379" s="39"/>
      <c r="P379" s="37"/>
    </row>
    <row r="380" spans="4:16">
      <c r="D380" s="596"/>
      <c r="G380" s="37"/>
      <c r="H380" s="37"/>
      <c r="I380" s="37"/>
      <c r="J380" s="37"/>
      <c r="K380" s="37"/>
      <c r="L380" s="37"/>
      <c r="M380" s="37"/>
      <c r="O380" s="39"/>
      <c r="P380" s="37"/>
    </row>
    <row r="381" spans="4:16">
      <c r="D381" s="596"/>
      <c r="G381" s="37"/>
      <c r="H381" s="37"/>
      <c r="I381" s="37"/>
      <c r="J381" s="37"/>
      <c r="K381" s="37"/>
      <c r="L381" s="37"/>
      <c r="M381" s="37"/>
      <c r="O381" s="39"/>
      <c r="P381" s="37"/>
    </row>
    <row r="382" spans="4:16">
      <c r="D382" s="596"/>
      <c r="G382" s="37"/>
      <c r="H382" s="37"/>
      <c r="I382" s="37"/>
      <c r="J382" s="37"/>
      <c r="K382" s="37"/>
      <c r="L382" s="37"/>
      <c r="M382" s="37"/>
      <c r="O382" s="39"/>
      <c r="P382" s="37"/>
    </row>
    <row r="383" spans="4:16">
      <c r="D383" s="596"/>
      <c r="G383" s="37"/>
      <c r="H383" s="37"/>
      <c r="I383" s="37"/>
      <c r="J383" s="37"/>
      <c r="K383" s="37"/>
      <c r="L383" s="37"/>
      <c r="M383" s="37"/>
      <c r="O383" s="39"/>
      <c r="P383" s="37"/>
    </row>
    <row r="384" spans="4:16">
      <c r="D384" s="596"/>
      <c r="G384" s="37"/>
      <c r="H384" s="37"/>
      <c r="I384" s="37"/>
      <c r="J384" s="37"/>
      <c r="K384" s="37"/>
      <c r="L384" s="37"/>
      <c r="M384" s="37"/>
      <c r="O384" s="39"/>
      <c r="P384" s="37"/>
    </row>
    <row r="385" spans="4:16">
      <c r="D385" s="596"/>
      <c r="G385" s="37"/>
      <c r="H385" s="37"/>
      <c r="I385" s="37"/>
      <c r="J385" s="37"/>
      <c r="K385" s="37"/>
      <c r="L385" s="37"/>
      <c r="M385" s="37"/>
      <c r="O385" s="39"/>
      <c r="P385" s="37"/>
    </row>
    <row r="386" spans="4:16">
      <c r="D386" s="596"/>
      <c r="G386" s="37"/>
      <c r="H386" s="37"/>
      <c r="I386" s="37"/>
      <c r="J386" s="37"/>
      <c r="K386" s="37"/>
      <c r="L386" s="37"/>
      <c r="M386" s="37"/>
      <c r="O386" s="39"/>
      <c r="P386" s="37"/>
    </row>
    <row r="387" spans="4:16">
      <c r="D387" s="596"/>
      <c r="G387" s="37"/>
      <c r="H387" s="37"/>
      <c r="I387" s="37"/>
      <c r="J387" s="37"/>
      <c r="K387" s="37"/>
      <c r="L387" s="37"/>
      <c r="M387" s="37"/>
      <c r="O387" s="39"/>
      <c r="P387" s="37"/>
    </row>
    <row r="388" spans="4:16">
      <c r="D388" s="596"/>
      <c r="G388" s="37"/>
      <c r="H388" s="37"/>
      <c r="I388" s="37"/>
      <c r="J388" s="37"/>
      <c r="K388" s="37"/>
      <c r="L388" s="37"/>
      <c r="M388" s="37"/>
      <c r="O388" s="39"/>
      <c r="P388" s="37"/>
    </row>
    <row r="389" spans="4:16">
      <c r="D389" s="596"/>
      <c r="G389" s="37"/>
      <c r="H389" s="37"/>
      <c r="I389" s="37"/>
      <c r="J389" s="37"/>
      <c r="K389" s="37"/>
      <c r="L389" s="37"/>
      <c r="M389" s="37"/>
      <c r="O389" s="39"/>
      <c r="P389" s="37"/>
    </row>
    <row r="390" spans="4:16">
      <c r="D390" s="596"/>
      <c r="G390" s="37"/>
      <c r="H390" s="37"/>
      <c r="I390" s="37"/>
      <c r="J390" s="37"/>
      <c r="K390" s="37"/>
      <c r="L390" s="37"/>
      <c r="M390" s="37"/>
      <c r="O390" s="39"/>
      <c r="P390" s="37"/>
    </row>
    <row r="391" spans="4:16">
      <c r="D391" s="596"/>
      <c r="G391" s="37"/>
      <c r="H391" s="37"/>
      <c r="I391" s="37"/>
      <c r="J391" s="37"/>
      <c r="K391" s="37"/>
      <c r="L391" s="37"/>
      <c r="M391" s="37"/>
      <c r="O391" s="39"/>
      <c r="P391" s="37"/>
    </row>
    <row r="392" spans="4:16">
      <c r="D392" s="596"/>
      <c r="G392" s="37"/>
      <c r="H392" s="37"/>
      <c r="I392" s="37"/>
      <c r="J392" s="37"/>
      <c r="K392" s="37"/>
      <c r="L392" s="37"/>
      <c r="M392" s="37"/>
      <c r="O392" s="39"/>
      <c r="P392" s="37"/>
    </row>
    <row r="393" spans="4:16">
      <c r="D393" s="596"/>
      <c r="G393" s="37"/>
      <c r="H393" s="37"/>
      <c r="I393" s="37"/>
      <c r="J393" s="37"/>
      <c r="K393" s="37"/>
      <c r="L393" s="37"/>
      <c r="M393" s="37"/>
      <c r="O393" s="39"/>
      <c r="P393" s="37"/>
    </row>
    <row r="394" spans="4:16">
      <c r="D394" s="596"/>
      <c r="G394" s="37"/>
      <c r="H394" s="37"/>
      <c r="I394" s="37"/>
      <c r="J394" s="37"/>
      <c r="K394" s="37"/>
      <c r="L394" s="37"/>
      <c r="M394" s="37"/>
      <c r="O394" s="39"/>
      <c r="P394" s="37"/>
    </row>
    <row r="395" spans="4:16">
      <c r="D395" s="596"/>
      <c r="G395" s="37"/>
      <c r="H395" s="37"/>
      <c r="I395" s="37"/>
      <c r="J395" s="37"/>
      <c r="K395" s="37"/>
      <c r="L395" s="37"/>
      <c r="M395" s="37"/>
      <c r="O395" s="39"/>
      <c r="P395" s="37"/>
    </row>
    <row r="396" spans="4:16">
      <c r="D396" s="596"/>
      <c r="G396" s="37"/>
      <c r="H396" s="37"/>
      <c r="I396" s="37"/>
      <c r="J396" s="37"/>
      <c r="K396" s="37"/>
      <c r="L396" s="37"/>
      <c r="M396" s="37"/>
      <c r="O396" s="39"/>
      <c r="P396" s="37"/>
    </row>
    <row r="397" spans="4:16">
      <c r="D397" s="596"/>
      <c r="G397" s="37"/>
      <c r="H397" s="37"/>
      <c r="I397" s="37"/>
      <c r="J397" s="37"/>
      <c r="K397" s="37"/>
      <c r="L397" s="37"/>
      <c r="M397" s="37"/>
      <c r="O397" s="39"/>
      <c r="P397" s="37"/>
    </row>
    <row r="398" spans="4:16">
      <c r="D398" s="596"/>
      <c r="G398" s="37"/>
      <c r="H398" s="37"/>
      <c r="I398" s="37"/>
      <c r="J398" s="37"/>
      <c r="K398" s="37"/>
      <c r="L398" s="37"/>
      <c r="M398" s="37"/>
      <c r="O398" s="39"/>
      <c r="P398" s="37"/>
    </row>
    <row r="399" spans="4:16">
      <c r="D399" s="596"/>
      <c r="G399" s="37"/>
      <c r="H399" s="37"/>
      <c r="I399" s="37"/>
      <c r="J399" s="37"/>
      <c r="K399" s="37"/>
      <c r="L399" s="37"/>
      <c r="M399" s="37"/>
      <c r="O399" s="39"/>
      <c r="P399" s="37"/>
    </row>
    <row r="400" spans="4:16">
      <c r="D400" s="596"/>
      <c r="G400" s="37"/>
      <c r="H400" s="37"/>
      <c r="I400" s="37"/>
      <c r="J400" s="37"/>
      <c r="K400" s="37"/>
      <c r="L400" s="37"/>
      <c r="M400" s="37"/>
      <c r="O400" s="39"/>
      <c r="P400" s="37"/>
    </row>
    <row r="401" spans="4:16">
      <c r="D401" s="596"/>
      <c r="G401" s="37"/>
      <c r="H401" s="37"/>
      <c r="I401" s="37"/>
      <c r="J401" s="37"/>
      <c r="K401" s="37"/>
      <c r="L401" s="37"/>
      <c r="M401" s="37"/>
      <c r="O401" s="39"/>
      <c r="P401" s="37"/>
    </row>
    <row r="402" spans="4:16">
      <c r="D402" s="596"/>
      <c r="G402" s="37"/>
      <c r="H402" s="37"/>
      <c r="I402" s="37"/>
      <c r="J402" s="37"/>
      <c r="K402" s="37"/>
      <c r="L402" s="37"/>
      <c r="M402" s="37"/>
      <c r="O402" s="39"/>
      <c r="P402" s="37"/>
    </row>
    <row r="403" spans="4:16">
      <c r="D403" s="596"/>
      <c r="G403" s="37"/>
      <c r="H403" s="37"/>
      <c r="I403" s="37"/>
      <c r="J403" s="37"/>
      <c r="K403" s="37"/>
      <c r="L403" s="37"/>
      <c r="M403" s="37"/>
      <c r="O403" s="39"/>
      <c r="P403" s="37"/>
    </row>
    <row r="404" spans="4:16">
      <c r="D404" s="596"/>
      <c r="G404" s="37"/>
      <c r="H404" s="37"/>
      <c r="I404" s="37"/>
      <c r="J404" s="37"/>
      <c r="K404" s="37"/>
      <c r="L404" s="37"/>
      <c r="M404" s="37"/>
      <c r="O404" s="39"/>
      <c r="P404" s="37"/>
    </row>
    <row r="405" spans="4:16">
      <c r="D405" s="596"/>
      <c r="G405" s="37"/>
      <c r="H405" s="37"/>
      <c r="I405" s="37"/>
      <c r="J405" s="37"/>
      <c r="K405" s="37"/>
      <c r="L405" s="37"/>
      <c r="M405" s="37"/>
      <c r="O405" s="39"/>
      <c r="P405" s="37"/>
    </row>
    <row r="406" spans="4:16">
      <c r="D406" s="596"/>
      <c r="G406" s="37"/>
      <c r="H406" s="37"/>
      <c r="I406" s="37"/>
      <c r="J406" s="37"/>
      <c r="K406" s="37"/>
      <c r="L406" s="37"/>
      <c r="M406" s="37"/>
      <c r="O406" s="39"/>
      <c r="P406" s="37"/>
    </row>
    <row r="407" spans="4:16">
      <c r="D407" s="596"/>
      <c r="G407" s="37"/>
      <c r="H407" s="37"/>
      <c r="I407" s="37"/>
      <c r="J407" s="37"/>
      <c r="K407" s="37"/>
      <c r="L407" s="37"/>
      <c r="M407" s="37"/>
      <c r="O407" s="39"/>
      <c r="P407" s="37"/>
    </row>
    <row r="408" spans="4:16">
      <c r="D408" s="596"/>
      <c r="G408" s="37"/>
      <c r="H408" s="37"/>
      <c r="I408" s="37"/>
      <c r="J408" s="37"/>
      <c r="K408" s="37"/>
      <c r="L408" s="37"/>
      <c r="M408" s="37"/>
      <c r="O408" s="39"/>
      <c r="P408" s="37"/>
    </row>
    <row r="409" spans="4:16">
      <c r="D409" s="596"/>
      <c r="G409" s="37"/>
      <c r="H409" s="37"/>
      <c r="I409" s="37"/>
      <c r="J409" s="37"/>
      <c r="K409" s="37"/>
      <c r="L409" s="37"/>
      <c r="M409" s="37"/>
      <c r="O409" s="39"/>
      <c r="P409" s="37"/>
    </row>
    <row r="410" spans="4:16">
      <c r="D410" s="596"/>
      <c r="G410" s="37"/>
      <c r="H410" s="37"/>
      <c r="I410" s="37"/>
      <c r="J410" s="37"/>
      <c r="K410" s="37"/>
      <c r="L410" s="37"/>
      <c r="M410" s="37"/>
      <c r="O410" s="39"/>
      <c r="P410" s="37"/>
    </row>
    <row r="411" spans="4:16">
      <c r="D411" s="596"/>
      <c r="G411" s="37"/>
      <c r="H411" s="37"/>
      <c r="I411" s="37"/>
      <c r="J411" s="37"/>
      <c r="K411" s="37"/>
      <c r="L411" s="37"/>
      <c r="M411" s="37"/>
      <c r="O411" s="39"/>
      <c r="P411" s="37"/>
    </row>
    <row r="412" spans="4:16">
      <c r="D412" s="596"/>
      <c r="G412" s="37"/>
      <c r="H412" s="37"/>
      <c r="I412" s="37"/>
      <c r="J412" s="37"/>
      <c r="K412" s="37"/>
      <c r="L412" s="37"/>
      <c r="M412" s="37"/>
      <c r="O412" s="39"/>
      <c r="P412" s="37"/>
    </row>
    <row r="413" spans="4:16">
      <c r="D413" s="596"/>
      <c r="G413" s="37"/>
      <c r="H413" s="37"/>
      <c r="I413" s="37"/>
      <c r="J413" s="37"/>
      <c r="K413" s="37"/>
      <c r="L413" s="37"/>
      <c r="M413" s="37"/>
      <c r="O413" s="39"/>
      <c r="P413" s="37"/>
    </row>
    <row r="414" spans="4:16">
      <c r="D414" s="596"/>
      <c r="G414" s="37"/>
      <c r="H414" s="37"/>
      <c r="I414" s="37"/>
      <c r="J414" s="37"/>
      <c r="K414" s="37"/>
      <c r="L414" s="37"/>
      <c r="M414" s="37"/>
      <c r="O414" s="39"/>
      <c r="P414" s="37"/>
    </row>
    <row r="415" spans="4:16">
      <c r="D415" s="596"/>
      <c r="G415" s="37"/>
      <c r="H415" s="37"/>
      <c r="I415" s="37"/>
      <c r="J415" s="37"/>
      <c r="K415" s="37"/>
      <c r="L415" s="37"/>
      <c r="M415" s="37"/>
      <c r="O415" s="39"/>
      <c r="P415" s="37"/>
    </row>
    <row r="416" spans="4:16">
      <c r="D416" s="596"/>
      <c r="G416" s="37"/>
      <c r="H416" s="37"/>
      <c r="I416" s="37"/>
      <c r="J416" s="37"/>
      <c r="K416" s="37"/>
      <c r="L416" s="37"/>
      <c r="M416" s="37"/>
      <c r="O416" s="39"/>
      <c r="P416" s="37"/>
    </row>
    <row r="417" spans="4:16">
      <c r="D417" s="596"/>
      <c r="G417" s="37"/>
      <c r="H417" s="37"/>
      <c r="I417" s="37"/>
      <c r="J417" s="37"/>
      <c r="K417" s="37"/>
      <c r="L417" s="37"/>
      <c r="M417" s="37"/>
      <c r="O417" s="39"/>
      <c r="P417" s="37"/>
    </row>
    <row r="418" spans="4:16">
      <c r="D418" s="596"/>
      <c r="G418" s="37"/>
      <c r="H418" s="37"/>
      <c r="I418" s="37"/>
      <c r="J418" s="37"/>
      <c r="K418" s="37"/>
      <c r="L418" s="37"/>
      <c r="M418" s="37"/>
      <c r="O418" s="39"/>
      <c r="P418" s="37"/>
    </row>
    <row r="419" spans="4:16">
      <c r="D419" s="596"/>
      <c r="G419" s="37"/>
      <c r="H419" s="37"/>
      <c r="I419" s="37"/>
      <c r="J419" s="37"/>
      <c r="K419" s="37"/>
      <c r="L419" s="37"/>
      <c r="M419" s="37"/>
      <c r="O419" s="39"/>
      <c r="P419" s="37"/>
    </row>
    <row r="420" spans="4:16">
      <c r="D420" s="596"/>
      <c r="G420" s="37"/>
      <c r="H420" s="37"/>
      <c r="I420" s="37"/>
      <c r="J420" s="37"/>
      <c r="K420" s="37"/>
      <c r="L420" s="37"/>
      <c r="M420" s="37"/>
      <c r="O420" s="39"/>
      <c r="P420" s="37"/>
    </row>
    <row r="421" spans="4:16">
      <c r="D421" s="596"/>
      <c r="G421" s="37"/>
      <c r="H421" s="37"/>
      <c r="I421" s="37"/>
      <c r="J421" s="37"/>
      <c r="K421" s="37"/>
      <c r="L421" s="37"/>
      <c r="M421" s="37"/>
      <c r="O421" s="39"/>
      <c r="P421" s="37"/>
    </row>
    <row r="422" spans="4:16">
      <c r="D422" s="596"/>
      <c r="G422" s="37"/>
      <c r="H422" s="37"/>
      <c r="I422" s="37"/>
      <c r="J422" s="37"/>
      <c r="K422" s="37"/>
      <c r="L422" s="37"/>
      <c r="M422" s="37"/>
      <c r="O422" s="39"/>
      <c r="P422" s="37"/>
    </row>
    <row r="423" spans="4:16">
      <c r="D423" s="596"/>
      <c r="G423" s="37"/>
      <c r="H423" s="37"/>
      <c r="I423" s="37"/>
      <c r="J423" s="37"/>
      <c r="K423" s="37"/>
      <c r="L423" s="37"/>
      <c r="M423" s="37"/>
      <c r="O423" s="39"/>
      <c r="P423" s="37"/>
    </row>
    <row r="424" spans="4:16">
      <c r="D424" s="596"/>
      <c r="G424" s="37"/>
      <c r="H424" s="37"/>
      <c r="I424" s="37"/>
      <c r="J424" s="37"/>
      <c r="K424" s="37"/>
      <c r="L424" s="37"/>
      <c r="M424" s="37"/>
      <c r="O424" s="39"/>
      <c r="P424" s="37"/>
    </row>
    <row r="425" spans="4:16">
      <c r="D425" s="596"/>
      <c r="G425" s="37"/>
      <c r="H425" s="37"/>
      <c r="I425" s="37"/>
      <c r="J425" s="37"/>
      <c r="K425" s="37"/>
      <c r="L425" s="37"/>
      <c r="M425" s="37"/>
      <c r="O425" s="39"/>
      <c r="P425" s="37"/>
    </row>
    <row r="426" spans="4:16">
      <c r="D426" s="596"/>
      <c r="G426" s="37"/>
      <c r="H426" s="37"/>
      <c r="I426" s="37"/>
      <c r="J426" s="37"/>
      <c r="K426" s="37"/>
      <c r="L426" s="37"/>
      <c r="M426" s="37"/>
      <c r="O426" s="39"/>
      <c r="P426" s="37"/>
    </row>
    <row r="427" spans="4:16">
      <c r="D427" s="596"/>
      <c r="G427" s="37"/>
      <c r="H427" s="37"/>
      <c r="I427" s="37"/>
      <c r="J427" s="37"/>
      <c r="K427" s="37"/>
      <c r="L427" s="37"/>
      <c r="M427" s="37"/>
      <c r="O427" s="39"/>
      <c r="P427" s="37"/>
    </row>
    <row r="428" spans="4:16">
      <c r="D428" s="596"/>
      <c r="G428" s="37"/>
      <c r="H428" s="37"/>
      <c r="I428" s="37"/>
      <c r="J428" s="37"/>
      <c r="K428" s="37"/>
      <c r="L428" s="37"/>
      <c r="M428" s="37"/>
      <c r="O428" s="39"/>
      <c r="P428" s="37"/>
    </row>
    <row r="429" spans="4:16">
      <c r="D429" s="596"/>
      <c r="G429" s="37"/>
      <c r="H429" s="37"/>
      <c r="I429" s="37"/>
      <c r="J429" s="37"/>
      <c r="K429" s="37"/>
      <c r="L429" s="37"/>
      <c r="M429" s="37"/>
      <c r="O429" s="39"/>
      <c r="P429" s="37"/>
    </row>
    <row r="430" spans="4:16">
      <c r="D430" s="596"/>
      <c r="G430" s="37"/>
      <c r="H430" s="37"/>
      <c r="I430" s="37"/>
      <c r="J430" s="37"/>
      <c r="K430" s="37"/>
      <c r="L430" s="37"/>
      <c r="M430" s="37"/>
      <c r="O430" s="39"/>
      <c r="P430" s="37"/>
    </row>
    <row r="431" spans="4:16">
      <c r="D431" s="596"/>
      <c r="G431" s="37"/>
      <c r="H431" s="37"/>
      <c r="I431" s="37"/>
      <c r="J431" s="37"/>
      <c r="K431" s="37"/>
      <c r="L431" s="37"/>
      <c r="M431" s="37"/>
      <c r="O431" s="39"/>
      <c r="P431" s="37"/>
    </row>
    <row r="432" spans="4:16">
      <c r="D432" s="596"/>
      <c r="G432" s="37"/>
      <c r="H432" s="37"/>
      <c r="I432" s="37"/>
      <c r="J432" s="37"/>
      <c r="K432" s="37"/>
      <c r="L432" s="37"/>
      <c r="M432" s="37"/>
      <c r="O432" s="39"/>
      <c r="P432" s="37"/>
    </row>
    <row r="433" spans="4:16">
      <c r="D433" s="596"/>
      <c r="G433" s="37"/>
      <c r="H433" s="37"/>
      <c r="I433" s="37"/>
      <c r="J433" s="37"/>
      <c r="K433" s="37"/>
      <c r="L433" s="37"/>
      <c r="M433" s="37"/>
      <c r="O433" s="39"/>
      <c r="P433" s="37"/>
    </row>
    <row r="434" spans="4:16">
      <c r="D434" s="596"/>
      <c r="G434" s="37"/>
      <c r="H434" s="37"/>
      <c r="I434" s="37"/>
      <c r="J434" s="37"/>
      <c r="K434" s="37"/>
      <c r="L434" s="37"/>
      <c r="M434" s="37"/>
      <c r="O434" s="39"/>
      <c r="P434" s="37"/>
    </row>
    <row r="435" spans="4:16">
      <c r="D435" s="596"/>
      <c r="G435" s="37"/>
      <c r="H435" s="37"/>
      <c r="I435" s="37"/>
      <c r="J435" s="37"/>
      <c r="K435" s="37"/>
      <c r="L435" s="37"/>
      <c r="M435" s="37"/>
      <c r="O435" s="39"/>
      <c r="P435" s="37"/>
    </row>
    <row r="436" spans="4:16">
      <c r="D436" s="596"/>
      <c r="G436" s="37"/>
      <c r="H436" s="37"/>
      <c r="I436" s="37"/>
      <c r="J436" s="37"/>
      <c r="K436" s="37"/>
      <c r="L436" s="37"/>
      <c r="M436" s="37"/>
      <c r="O436" s="39"/>
      <c r="P436" s="37"/>
    </row>
    <row r="437" spans="4:16">
      <c r="D437" s="596"/>
      <c r="G437" s="37"/>
      <c r="H437" s="37"/>
      <c r="I437" s="37"/>
      <c r="J437" s="37"/>
      <c r="K437" s="37"/>
      <c r="L437" s="37"/>
      <c r="M437" s="37"/>
      <c r="O437" s="39"/>
      <c r="P437" s="37"/>
    </row>
    <row r="438" spans="4:16">
      <c r="D438" s="596"/>
      <c r="G438" s="37"/>
      <c r="H438" s="37"/>
      <c r="I438" s="37"/>
      <c r="J438" s="37"/>
      <c r="K438" s="37"/>
      <c r="L438" s="37"/>
      <c r="M438" s="37"/>
      <c r="O438" s="39"/>
      <c r="P438" s="37"/>
    </row>
    <row r="439" spans="4:16">
      <c r="D439" s="596"/>
      <c r="G439" s="37"/>
      <c r="H439" s="37"/>
      <c r="I439" s="37"/>
      <c r="J439" s="37"/>
      <c r="K439" s="37"/>
      <c r="L439" s="37"/>
      <c r="M439" s="37"/>
      <c r="O439" s="39"/>
      <c r="P439" s="37"/>
    </row>
    <row r="440" spans="4:16">
      <c r="D440" s="596"/>
      <c r="G440" s="37"/>
      <c r="H440" s="37"/>
      <c r="I440" s="37"/>
      <c r="J440" s="37"/>
      <c r="K440" s="37"/>
      <c r="L440" s="37"/>
      <c r="M440" s="37"/>
      <c r="O440" s="39"/>
      <c r="P440" s="37"/>
    </row>
    <row r="441" spans="4:16">
      <c r="D441" s="596"/>
      <c r="G441" s="37"/>
      <c r="H441" s="37"/>
      <c r="I441" s="37"/>
      <c r="J441" s="37"/>
      <c r="K441" s="37"/>
      <c r="L441" s="37"/>
      <c r="M441" s="37"/>
      <c r="O441" s="39"/>
      <c r="P441" s="37"/>
    </row>
    <row r="442" spans="4:16">
      <c r="D442" s="596"/>
      <c r="G442" s="37"/>
      <c r="H442" s="37"/>
      <c r="I442" s="37"/>
      <c r="J442" s="37"/>
      <c r="K442" s="37"/>
      <c r="L442" s="37"/>
      <c r="M442" s="37"/>
      <c r="O442" s="39"/>
      <c r="P442" s="37"/>
    </row>
    <row r="443" spans="4:16">
      <c r="D443" s="596"/>
      <c r="G443" s="37"/>
      <c r="H443" s="37"/>
      <c r="I443" s="37"/>
      <c r="J443" s="37"/>
      <c r="K443" s="37"/>
      <c r="L443" s="37"/>
      <c r="M443" s="37"/>
      <c r="O443" s="39"/>
      <c r="P443" s="37"/>
    </row>
    <row r="444" spans="4:16">
      <c r="D444" s="596"/>
      <c r="G444" s="37"/>
      <c r="H444" s="37"/>
      <c r="I444" s="37"/>
      <c r="J444" s="37"/>
      <c r="K444" s="37"/>
      <c r="L444" s="37"/>
      <c r="M444" s="37"/>
      <c r="O444" s="39"/>
      <c r="P444" s="37"/>
    </row>
    <row r="445" spans="4:16">
      <c r="D445" s="596"/>
      <c r="G445" s="37"/>
      <c r="H445" s="37"/>
      <c r="I445" s="37"/>
      <c r="J445" s="37"/>
      <c r="K445" s="37"/>
      <c r="L445" s="37"/>
      <c r="M445" s="37"/>
      <c r="O445" s="39"/>
      <c r="P445" s="37"/>
    </row>
    <row r="446" spans="4:16">
      <c r="D446" s="596"/>
      <c r="G446" s="37"/>
      <c r="H446" s="37"/>
      <c r="I446" s="37"/>
      <c r="J446" s="37"/>
      <c r="K446" s="37"/>
      <c r="L446" s="37"/>
      <c r="M446" s="37"/>
      <c r="O446" s="39"/>
      <c r="P446" s="37"/>
    </row>
    <row r="447" spans="4:16">
      <c r="D447" s="596"/>
      <c r="G447" s="37"/>
      <c r="H447" s="37"/>
      <c r="I447" s="37"/>
      <c r="J447" s="37"/>
      <c r="K447" s="37"/>
      <c r="L447" s="37"/>
      <c r="M447" s="37"/>
      <c r="O447" s="39"/>
      <c r="P447" s="37"/>
    </row>
    <row r="448" spans="4:16">
      <c r="D448" s="596"/>
      <c r="G448" s="37"/>
      <c r="H448" s="37"/>
      <c r="I448" s="37"/>
      <c r="J448" s="37"/>
      <c r="K448" s="37"/>
      <c r="L448" s="37"/>
      <c r="M448" s="37"/>
      <c r="O448" s="39"/>
      <c r="P448" s="37"/>
    </row>
    <row r="449" spans="4:16">
      <c r="D449" s="596"/>
      <c r="G449" s="37"/>
      <c r="H449" s="37"/>
      <c r="I449" s="37"/>
      <c r="J449" s="37"/>
      <c r="K449" s="37"/>
      <c r="L449" s="37"/>
      <c r="M449" s="37"/>
      <c r="O449" s="39"/>
      <c r="P449" s="37"/>
    </row>
    <row r="450" spans="4:16">
      <c r="D450" s="596"/>
      <c r="G450" s="37"/>
      <c r="H450" s="37"/>
      <c r="I450" s="37"/>
      <c r="J450" s="37"/>
      <c r="K450" s="37"/>
      <c r="L450" s="37"/>
      <c r="M450" s="37"/>
      <c r="O450" s="39"/>
      <c r="P450" s="37"/>
    </row>
    <row r="451" spans="4:16">
      <c r="D451" s="596"/>
      <c r="G451" s="37"/>
      <c r="H451" s="37"/>
      <c r="I451" s="37"/>
      <c r="J451" s="37"/>
      <c r="K451" s="37"/>
      <c r="L451" s="37"/>
      <c r="M451" s="37"/>
      <c r="O451" s="39"/>
      <c r="P451" s="37"/>
    </row>
    <row r="452" spans="4:16">
      <c r="D452" s="596"/>
      <c r="G452" s="37"/>
      <c r="H452" s="37"/>
      <c r="I452" s="37"/>
      <c r="J452" s="37"/>
      <c r="K452" s="37"/>
      <c r="L452" s="37"/>
      <c r="M452" s="37"/>
      <c r="O452" s="39"/>
      <c r="P452" s="37"/>
    </row>
    <row r="453" spans="4:16">
      <c r="D453" s="596"/>
      <c r="G453" s="37"/>
      <c r="H453" s="37"/>
      <c r="I453" s="37"/>
      <c r="J453" s="37"/>
      <c r="K453" s="37"/>
      <c r="L453" s="37"/>
      <c r="M453" s="37"/>
      <c r="O453" s="39"/>
      <c r="P453" s="37"/>
    </row>
    <row r="454" spans="4:16">
      <c r="D454" s="596"/>
      <c r="G454" s="37"/>
      <c r="H454" s="37"/>
      <c r="I454" s="37"/>
      <c r="J454" s="37"/>
      <c r="K454" s="37"/>
      <c r="L454" s="37"/>
      <c r="M454" s="37"/>
      <c r="O454" s="39"/>
      <c r="P454" s="37"/>
    </row>
    <row r="455" spans="4:16">
      <c r="D455" s="596"/>
      <c r="G455" s="37"/>
      <c r="H455" s="37"/>
      <c r="I455" s="37"/>
      <c r="J455" s="37"/>
      <c r="K455" s="37"/>
      <c r="L455" s="37"/>
      <c r="M455" s="37"/>
      <c r="O455" s="39"/>
      <c r="P455" s="37"/>
    </row>
    <row r="456" spans="4:16">
      <c r="D456" s="596"/>
      <c r="G456" s="37"/>
      <c r="H456" s="37"/>
      <c r="I456" s="37"/>
      <c r="J456" s="37"/>
      <c r="K456" s="37"/>
      <c r="L456" s="37"/>
      <c r="M456" s="37"/>
      <c r="O456" s="39"/>
      <c r="P456" s="37"/>
    </row>
    <row r="457" spans="4:16">
      <c r="D457" s="596"/>
      <c r="G457" s="37"/>
      <c r="H457" s="37"/>
      <c r="I457" s="37"/>
      <c r="J457" s="37"/>
      <c r="K457" s="37"/>
      <c r="L457" s="37"/>
      <c r="M457" s="37"/>
      <c r="O457" s="39"/>
      <c r="P457" s="37"/>
    </row>
    <row r="458" spans="4:16">
      <c r="D458" s="596"/>
      <c r="G458" s="37"/>
      <c r="H458" s="37"/>
      <c r="I458" s="37"/>
      <c r="J458" s="37"/>
      <c r="K458" s="37"/>
      <c r="L458" s="37"/>
      <c r="M458" s="37"/>
      <c r="O458" s="39"/>
      <c r="P458" s="37"/>
    </row>
    <row r="459" spans="4:16">
      <c r="D459" s="596"/>
      <c r="G459" s="37"/>
      <c r="H459" s="37"/>
      <c r="I459" s="37"/>
      <c r="J459" s="37"/>
      <c r="K459" s="37"/>
      <c r="L459" s="37"/>
      <c r="M459" s="37"/>
      <c r="O459" s="39"/>
      <c r="P459" s="37"/>
    </row>
    <row r="460" spans="4:16">
      <c r="D460" s="596"/>
      <c r="G460" s="37"/>
      <c r="H460" s="37"/>
      <c r="I460" s="37"/>
      <c r="J460" s="37"/>
      <c r="K460" s="37"/>
      <c r="L460" s="37"/>
      <c r="M460" s="37"/>
      <c r="O460" s="39"/>
      <c r="P460" s="37"/>
    </row>
    <row r="461" spans="4:16">
      <c r="D461" s="596"/>
      <c r="G461" s="37"/>
      <c r="H461" s="37"/>
      <c r="I461" s="37"/>
      <c r="J461" s="37"/>
      <c r="K461" s="37"/>
      <c r="L461" s="37"/>
      <c r="M461" s="37"/>
      <c r="O461" s="39"/>
      <c r="P461" s="37"/>
    </row>
    <row r="462" spans="4:16">
      <c r="D462" s="596"/>
      <c r="G462" s="37"/>
      <c r="H462" s="37"/>
      <c r="I462" s="37"/>
      <c r="J462" s="37"/>
      <c r="K462" s="37"/>
      <c r="L462" s="37"/>
      <c r="M462" s="37"/>
      <c r="O462" s="39"/>
      <c r="P462" s="37"/>
    </row>
    <row r="463" spans="4:16">
      <c r="D463" s="596"/>
      <c r="G463" s="37"/>
      <c r="H463" s="37"/>
      <c r="I463" s="37"/>
      <c r="J463" s="37"/>
      <c r="K463" s="37"/>
      <c r="L463" s="37"/>
      <c r="M463" s="37"/>
      <c r="O463" s="39"/>
      <c r="P463" s="37"/>
    </row>
    <row r="464" spans="4:16">
      <c r="D464" s="596"/>
      <c r="G464" s="37"/>
      <c r="H464" s="37"/>
      <c r="I464" s="37"/>
      <c r="J464" s="37"/>
      <c r="K464" s="37"/>
      <c r="L464" s="37"/>
      <c r="M464" s="37"/>
      <c r="O464" s="39"/>
      <c r="P464" s="37"/>
    </row>
    <row r="465" spans="4:16">
      <c r="D465" s="596"/>
      <c r="G465" s="37"/>
      <c r="H465" s="37"/>
      <c r="I465" s="37"/>
      <c r="J465" s="37"/>
      <c r="K465" s="37"/>
      <c r="L465" s="37"/>
      <c r="M465" s="37"/>
      <c r="O465" s="39"/>
      <c r="P465" s="37"/>
    </row>
    <row r="466" spans="4:16">
      <c r="D466" s="596"/>
      <c r="G466" s="37"/>
      <c r="H466" s="37"/>
      <c r="I466" s="37"/>
      <c r="J466" s="37"/>
      <c r="K466" s="37"/>
      <c r="L466" s="37"/>
      <c r="M466" s="37"/>
      <c r="O466" s="39"/>
      <c r="P466" s="37"/>
    </row>
    <row r="467" spans="4:16">
      <c r="D467" s="596"/>
      <c r="G467" s="37"/>
      <c r="H467" s="37"/>
      <c r="I467" s="37"/>
      <c r="J467" s="37"/>
      <c r="K467" s="37"/>
      <c r="L467" s="37"/>
      <c r="M467" s="37"/>
      <c r="O467" s="39"/>
      <c r="P467" s="37"/>
    </row>
    <row r="468" spans="4:16">
      <c r="D468" s="596"/>
      <c r="G468" s="37"/>
      <c r="H468" s="37"/>
      <c r="I468" s="37"/>
      <c r="J468" s="37"/>
      <c r="K468" s="37"/>
      <c r="L468" s="37"/>
      <c r="M468" s="37"/>
      <c r="O468" s="39"/>
      <c r="P468" s="37"/>
    </row>
    <row r="469" spans="4:16">
      <c r="D469" s="596"/>
      <c r="G469" s="37"/>
      <c r="H469" s="37"/>
      <c r="I469" s="37"/>
      <c r="J469" s="37"/>
      <c r="K469" s="37"/>
      <c r="L469" s="37"/>
      <c r="M469" s="37"/>
      <c r="O469" s="39"/>
      <c r="P469" s="37"/>
    </row>
    <row r="470" spans="4:16">
      <c r="D470" s="596"/>
      <c r="G470" s="37"/>
      <c r="H470" s="37"/>
      <c r="I470" s="37"/>
      <c r="J470" s="37"/>
      <c r="K470" s="37"/>
      <c r="L470" s="37"/>
      <c r="M470" s="37"/>
      <c r="O470" s="39"/>
      <c r="P470" s="37"/>
    </row>
    <row r="471" spans="4:16">
      <c r="D471" s="596"/>
      <c r="G471" s="37"/>
      <c r="H471" s="37"/>
      <c r="I471" s="37"/>
      <c r="J471" s="37"/>
      <c r="K471" s="37"/>
      <c r="L471" s="37"/>
      <c r="M471" s="37"/>
      <c r="O471" s="39"/>
      <c r="P471" s="37"/>
    </row>
    <row r="472" spans="4:16">
      <c r="D472" s="596"/>
      <c r="G472" s="37"/>
      <c r="H472" s="37"/>
      <c r="I472" s="37"/>
      <c r="J472" s="37"/>
      <c r="K472" s="37"/>
      <c r="L472" s="37"/>
      <c r="M472" s="37"/>
      <c r="O472" s="39"/>
      <c r="P472" s="37"/>
    </row>
    <row r="473" spans="4:16">
      <c r="D473" s="596"/>
      <c r="G473" s="37"/>
      <c r="H473" s="37"/>
      <c r="I473" s="37"/>
      <c r="J473" s="37"/>
      <c r="K473" s="37"/>
      <c r="L473" s="37"/>
      <c r="M473" s="37"/>
      <c r="O473" s="39"/>
      <c r="P473" s="37"/>
    </row>
    <row r="474" spans="4:16">
      <c r="D474" s="596"/>
      <c r="G474" s="37"/>
      <c r="H474" s="37"/>
      <c r="I474" s="37"/>
      <c r="J474" s="37"/>
      <c r="K474" s="37"/>
      <c r="L474" s="37"/>
      <c r="M474" s="37"/>
      <c r="O474" s="39"/>
      <c r="P474" s="37"/>
    </row>
    <row r="475" spans="4:16">
      <c r="D475" s="596"/>
      <c r="G475" s="37"/>
      <c r="H475" s="37"/>
      <c r="I475" s="37"/>
      <c r="J475" s="37"/>
      <c r="K475" s="37"/>
      <c r="L475" s="37"/>
      <c r="M475" s="37"/>
      <c r="O475" s="39"/>
      <c r="P475" s="37"/>
    </row>
    <row r="476" spans="4:16">
      <c r="D476" s="596"/>
      <c r="G476" s="37"/>
      <c r="H476" s="37"/>
      <c r="I476" s="37"/>
      <c r="J476" s="37"/>
      <c r="K476" s="37"/>
      <c r="L476" s="37"/>
      <c r="M476" s="37"/>
      <c r="O476" s="39"/>
      <c r="P476" s="37"/>
    </row>
    <row r="477" spans="4:16">
      <c r="D477" s="596"/>
      <c r="G477" s="37"/>
      <c r="H477" s="37"/>
      <c r="I477" s="37"/>
      <c r="J477" s="37"/>
      <c r="K477" s="37"/>
      <c r="L477" s="37"/>
      <c r="M477" s="37"/>
      <c r="O477" s="39"/>
      <c r="P477" s="37"/>
    </row>
    <row r="478" spans="4:16">
      <c r="D478" s="596"/>
      <c r="G478" s="37"/>
      <c r="H478" s="37"/>
      <c r="I478" s="37"/>
      <c r="J478" s="37"/>
      <c r="K478" s="37"/>
      <c r="L478" s="37"/>
      <c r="M478" s="37"/>
      <c r="O478" s="39"/>
      <c r="P478" s="37"/>
    </row>
    <row r="479" spans="4:16">
      <c r="D479" s="596"/>
      <c r="G479" s="37"/>
      <c r="H479" s="37"/>
      <c r="I479" s="37"/>
      <c r="J479" s="37"/>
      <c r="K479" s="37"/>
      <c r="L479" s="37"/>
      <c r="M479" s="37"/>
      <c r="O479" s="39"/>
      <c r="P479" s="37"/>
    </row>
    <row r="480" spans="4:16">
      <c r="D480" s="596"/>
      <c r="G480" s="37"/>
      <c r="H480" s="37"/>
      <c r="I480" s="37"/>
      <c r="J480" s="37"/>
      <c r="K480" s="37"/>
      <c r="L480" s="37"/>
      <c r="M480" s="37"/>
      <c r="O480" s="39"/>
      <c r="P480" s="37"/>
    </row>
    <row r="481" spans="4:16">
      <c r="D481" s="596"/>
      <c r="G481" s="37"/>
      <c r="H481" s="37"/>
      <c r="I481" s="37"/>
      <c r="J481" s="37"/>
      <c r="K481" s="37"/>
      <c r="L481" s="37"/>
      <c r="M481" s="37"/>
      <c r="O481" s="39"/>
      <c r="P481" s="37"/>
    </row>
    <row r="482" spans="4:16">
      <c r="D482" s="596"/>
      <c r="G482" s="37"/>
      <c r="H482" s="37"/>
      <c r="I482" s="37"/>
      <c r="J482" s="37"/>
      <c r="K482" s="37"/>
      <c r="L482" s="37"/>
      <c r="M482" s="37"/>
      <c r="O482" s="39"/>
      <c r="P482" s="37"/>
    </row>
    <row r="483" spans="4:16">
      <c r="D483" s="596"/>
      <c r="G483" s="37"/>
      <c r="H483" s="37"/>
      <c r="I483" s="37"/>
      <c r="J483" s="37"/>
      <c r="K483" s="37"/>
      <c r="L483" s="37"/>
      <c r="M483" s="37"/>
      <c r="O483" s="39"/>
      <c r="P483" s="37"/>
    </row>
    <row r="484" spans="4:16">
      <c r="D484" s="596"/>
      <c r="G484" s="37"/>
      <c r="H484" s="37"/>
      <c r="I484" s="37"/>
      <c r="J484" s="37"/>
      <c r="K484" s="37"/>
      <c r="L484" s="37"/>
      <c r="M484" s="37"/>
      <c r="O484" s="39"/>
      <c r="P484" s="37"/>
    </row>
    <row r="485" spans="4:16">
      <c r="D485" s="596"/>
      <c r="G485" s="37"/>
      <c r="H485" s="37"/>
      <c r="I485" s="37"/>
      <c r="J485" s="37"/>
      <c r="K485" s="37"/>
      <c r="L485" s="37"/>
      <c r="M485" s="37"/>
      <c r="O485" s="39"/>
      <c r="P485" s="37"/>
    </row>
    <row r="486" spans="4:16">
      <c r="D486" s="596"/>
      <c r="G486" s="37"/>
      <c r="H486" s="37"/>
      <c r="I486" s="37"/>
      <c r="J486" s="37"/>
      <c r="K486" s="37"/>
      <c r="L486" s="37"/>
      <c r="M486" s="37"/>
      <c r="O486" s="39"/>
      <c r="P486" s="37"/>
    </row>
    <row r="487" spans="4:16">
      <c r="D487" s="596"/>
      <c r="G487" s="37"/>
      <c r="H487" s="37"/>
      <c r="I487" s="37"/>
      <c r="J487" s="37"/>
      <c r="K487" s="37"/>
      <c r="L487" s="37"/>
      <c r="M487" s="37"/>
      <c r="O487" s="39"/>
      <c r="P487" s="37"/>
    </row>
    <row r="488" spans="4:16">
      <c r="D488" s="596"/>
      <c r="G488" s="37"/>
      <c r="H488" s="37"/>
      <c r="I488" s="37"/>
      <c r="J488" s="37"/>
      <c r="K488" s="37"/>
      <c r="L488" s="37"/>
      <c r="M488" s="37"/>
      <c r="O488" s="39"/>
      <c r="P488" s="37"/>
    </row>
    <row r="489" spans="4:16">
      <c r="D489" s="596"/>
      <c r="G489" s="37"/>
      <c r="H489" s="37"/>
      <c r="I489" s="37"/>
      <c r="J489" s="37"/>
      <c r="K489" s="37"/>
      <c r="L489" s="37"/>
      <c r="M489" s="37"/>
      <c r="O489" s="39"/>
      <c r="P489" s="37"/>
    </row>
    <row r="490" spans="4:16">
      <c r="D490" s="596"/>
      <c r="G490" s="37"/>
      <c r="H490" s="37"/>
      <c r="I490" s="37"/>
      <c r="J490" s="37"/>
      <c r="K490" s="37"/>
      <c r="L490" s="37"/>
      <c r="M490" s="37"/>
      <c r="O490" s="39"/>
      <c r="P490" s="37"/>
    </row>
    <row r="491" spans="4:16">
      <c r="D491" s="596"/>
      <c r="G491" s="37"/>
      <c r="H491" s="37"/>
      <c r="I491" s="37"/>
      <c r="J491" s="37"/>
      <c r="K491" s="37"/>
      <c r="L491" s="37"/>
      <c r="M491" s="37"/>
      <c r="O491" s="39"/>
      <c r="P491" s="37"/>
    </row>
    <row r="492" spans="4:16">
      <c r="D492" s="596"/>
      <c r="G492" s="37"/>
      <c r="H492" s="37"/>
      <c r="I492" s="37"/>
      <c r="J492" s="37"/>
      <c r="K492" s="37"/>
      <c r="L492" s="37"/>
      <c r="M492" s="37"/>
      <c r="O492" s="39"/>
      <c r="P492" s="37"/>
    </row>
    <row r="493" spans="4:16">
      <c r="D493" s="596"/>
      <c r="G493" s="37"/>
      <c r="H493" s="37"/>
      <c r="I493" s="37"/>
      <c r="J493" s="37"/>
      <c r="K493" s="37"/>
      <c r="L493" s="37"/>
      <c r="M493" s="37"/>
      <c r="O493" s="39"/>
      <c r="P493" s="37"/>
    </row>
    <row r="494" spans="4:16">
      <c r="D494" s="596"/>
      <c r="G494" s="37"/>
      <c r="H494" s="37"/>
      <c r="I494" s="37"/>
      <c r="J494" s="37"/>
      <c r="K494" s="37"/>
      <c r="L494" s="37"/>
      <c r="M494" s="37"/>
      <c r="O494" s="39"/>
      <c r="P494" s="37"/>
    </row>
    <row r="495" spans="4:16">
      <c r="D495" s="596"/>
      <c r="G495" s="37"/>
      <c r="H495" s="37"/>
      <c r="I495" s="37"/>
      <c r="J495" s="37"/>
      <c r="K495" s="37"/>
      <c r="L495" s="37"/>
      <c r="M495" s="37"/>
      <c r="O495" s="39"/>
      <c r="P495" s="37"/>
    </row>
    <row r="496" spans="4:16">
      <c r="D496" s="596"/>
      <c r="G496" s="37"/>
      <c r="H496" s="37"/>
      <c r="I496" s="37"/>
      <c r="J496" s="37"/>
      <c r="K496" s="37"/>
      <c r="L496" s="37"/>
      <c r="M496" s="37"/>
      <c r="O496" s="39"/>
      <c r="P496" s="37"/>
    </row>
    <row r="497" spans="4:16">
      <c r="D497" s="596"/>
      <c r="G497" s="37"/>
      <c r="H497" s="37"/>
      <c r="I497" s="37"/>
      <c r="J497" s="37"/>
      <c r="K497" s="37"/>
      <c r="L497" s="37"/>
      <c r="M497" s="37"/>
      <c r="O497" s="39"/>
      <c r="P497" s="37"/>
    </row>
    <row r="498" spans="4:16">
      <c r="D498" s="596"/>
      <c r="G498" s="37"/>
      <c r="H498" s="37"/>
      <c r="I498" s="37"/>
      <c r="J498" s="37"/>
      <c r="K498" s="37"/>
      <c r="L498" s="37"/>
      <c r="M498" s="37"/>
      <c r="O498" s="39"/>
      <c r="P498" s="37"/>
    </row>
    <row r="499" spans="4:16">
      <c r="D499" s="596"/>
      <c r="G499" s="37"/>
      <c r="H499" s="37"/>
      <c r="I499" s="37"/>
      <c r="J499" s="37"/>
      <c r="K499" s="37"/>
      <c r="L499" s="37"/>
      <c r="M499" s="37"/>
      <c r="O499" s="39"/>
      <c r="P499" s="37"/>
    </row>
    <row r="500" spans="4:16">
      <c r="D500" s="596"/>
      <c r="G500" s="37"/>
      <c r="H500" s="37"/>
      <c r="I500" s="37"/>
      <c r="J500" s="37"/>
      <c r="K500" s="37"/>
      <c r="L500" s="37"/>
      <c r="M500" s="37"/>
      <c r="O500" s="39"/>
      <c r="P500" s="37"/>
    </row>
    <row r="501" spans="4:16">
      <c r="D501" s="596"/>
      <c r="G501" s="37"/>
      <c r="H501" s="37"/>
      <c r="I501" s="37"/>
      <c r="J501" s="37"/>
      <c r="K501" s="37"/>
      <c r="L501" s="37"/>
      <c r="M501" s="37"/>
      <c r="O501" s="39"/>
      <c r="P501" s="37"/>
    </row>
    <row r="502" spans="4:16">
      <c r="D502" s="596"/>
      <c r="G502" s="37"/>
      <c r="H502" s="37"/>
      <c r="I502" s="37"/>
      <c r="J502" s="37"/>
      <c r="K502" s="37"/>
      <c r="L502" s="37"/>
      <c r="M502" s="37"/>
      <c r="O502" s="39"/>
      <c r="P502" s="37"/>
    </row>
    <row r="503" spans="4:16">
      <c r="D503" s="596"/>
      <c r="G503" s="37"/>
      <c r="H503" s="37"/>
      <c r="I503" s="37"/>
      <c r="J503" s="37"/>
      <c r="K503" s="37"/>
      <c r="L503" s="37"/>
      <c r="M503" s="37"/>
      <c r="O503" s="39"/>
      <c r="P503" s="37"/>
    </row>
    <row r="504" spans="4:16">
      <c r="D504" s="596"/>
      <c r="G504" s="37"/>
      <c r="H504" s="37"/>
      <c r="I504" s="37"/>
      <c r="J504" s="37"/>
      <c r="K504" s="37"/>
      <c r="L504" s="37"/>
      <c r="M504" s="37"/>
      <c r="O504" s="39"/>
      <c r="P504" s="37"/>
    </row>
    <row r="505" spans="4:16">
      <c r="D505" s="596"/>
      <c r="G505" s="37"/>
      <c r="H505" s="37"/>
      <c r="I505" s="37"/>
      <c r="J505" s="37"/>
      <c r="K505" s="37"/>
      <c r="L505" s="37"/>
      <c r="M505" s="37"/>
      <c r="O505" s="39"/>
      <c r="P505" s="37"/>
    </row>
    <row r="506" spans="4:16">
      <c r="D506" s="596"/>
      <c r="G506" s="37"/>
      <c r="H506" s="37"/>
      <c r="I506" s="37"/>
      <c r="J506" s="37"/>
      <c r="K506" s="37"/>
      <c r="L506" s="37"/>
      <c r="M506" s="37"/>
      <c r="O506" s="39"/>
      <c r="P506" s="37"/>
    </row>
    <row r="507" spans="4:16">
      <c r="D507" s="596"/>
      <c r="G507" s="37"/>
      <c r="H507" s="37"/>
      <c r="I507" s="37"/>
      <c r="J507" s="37"/>
      <c r="K507" s="37"/>
      <c r="L507" s="37"/>
      <c r="M507" s="37"/>
      <c r="O507" s="39"/>
      <c r="P507" s="37"/>
    </row>
    <row r="508" spans="4:16">
      <c r="D508" s="596"/>
      <c r="G508" s="37"/>
      <c r="H508" s="37"/>
      <c r="I508" s="37"/>
      <c r="J508" s="37"/>
      <c r="K508" s="37"/>
      <c r="L508" s="37"/>
      <c r="M508" s="37"/>
      <c r="O508" s="39"/>
      <c r="P508" s="37"/>
    </row>
    <row r="509" spans="4:16">
      <c r="D509" s="596"/>
      <c r="G509" s="37"/>
      <c r="H509" s="37"/>
      <c r="I509" s="37"/>
      <c r="J509" s="37"/>
      <c r="K509" s="37"/>
      <c r="L509" s="37"/>
      <c r="M509" s="37"/>
      <c r="O509" s="39"/>
      <c r="P509" s="37"/>
    </row>
    <row r="510" spans="4:16">
      <c r="D510" s="596"/>
      <c r="G510" s="37"/>
      <c r="H510" s="37"/>
      <c r="I510" s="37"/>
      <c r="J510" s="37"/>
      <c r="K510" s="37"/>
      <c r="L510" s="37"/>
      <c r="M510" s="37"/>
      <c r="O510" s="39"/>
      <c r="P510" s="37"/>
    </row>
    <row r="511" spans="4:16">
      <c r="D511" s="596"/>
      <c r="G511" s="37"/>
      <c r="H511" s="37"/>
      <c r="I511" s="37"/>
      <c r="J511" s="37"/>
      <c r="K511" s="37"/>
      <c r="L511" s="37"/>
      <c r="M511" s="37"/>
      <c r="O511" s="39"/>
      <c r="P511" s="37"/>
    </row>
    <row r="512" spans="4:16">
      <c r="D512" s="596"/>
      <c r="G512" s="37"/>
      <c r="H512" s="37"/>
      <c r="I512" s="37"/>
      <c r="J512" s="37"/>
      <c r="K512" s="37"/>
      <c r="L512" s="37"/>
      <c r="M512" s="37"/>
      <c r="O512" s="39"/>
      <c r="P512" s="37"/>
    </row>
    <row r="513" spans="4:16">
      <c r="D513" s="596"/>
      <c r="G513" s="37"/>
      <c r="H513" s="37"/>
      <c r="I513" s="37"/>
      <c r="J513" s="37"/>
      <c r="K513" s="37"/>
      <c r="L513" s="37"/>
      <c r="M513" s="37"/>
      <c r="O513" s="39"/>
      <c r="P513" s="37"/>
    </row>
    <row r="514" spans="4:16">
      <c r="D514" s="596"/>
      <c r="G514" s="37"/>
      <c r="H514" s="37"/>
      <c r="I514" s="37"/>
      <c r="J514" s="37"/>
      <c r="K514" s="37"/>
      <c r="L514" s="37"/>
      <c r="M514" s="37"/>
      <c r="O514" s="39"/>
      <c r="P514" s="37"/>
    </row>
    <row r="515" spans="4:16">
      <c r="D515" s="596"/>
      <c r="G515" s="37"/>
      <c r="H515" s="37"/>
      <c r="I515" s="37"/>
      <c r="J515" s="37"/>
      <c r="K515" s="37"/>
      <c r="L515" s="37"/>
      <c r="M515" s="37"/>
      <c r="O515" s="39"/>
      <c r="P515" s="37"/>
    </row>
    <row r="516" spans="4:16">
      <c r="D516" s="596"/>
      <c r="G516" s="37"/>
      <c r="H516" s="37"/>
      <c r="I516" s="37"/>
      <c r="J516" s="37"/>
      <c r="K516" s="37"/>
      <c r="L516" s="37"/>
      <c r="M516" s="37"/>
      <c r="O516" s="39"/>
      <c r="P516" s="37"/>
    </row>
    <row r="517" spans="4:16">
      <c r="D517" s="596"/>
      <c r="G517" s="37"/>
      <c r="H517" s="37"/>
      <c r="I517" s="37"/>
      <c r="J517" s="37"/>
      <c r="K517" s="37"/>
      <c r="L517" s="37"/>
      <c r="M517" s="37"/>
      <c r="O517" s="39"/>
      <c r="P517" s="37"/>
    </row>
    <row r="518" spans="4:16">
      <c r="D518" s="596"/>
      <c r="G518" s="37"/>
      <c r="H518" s="37"/>
      <c r="I518" s="37"/>
      <c r="J518" s="37"/>
      <c r="K518" s="37"/>
      <c r="L518" s="37"/>
      <c r="M518" s="37"/>
      <c r="O518" s="39"/>
      <c r="P518" s="37"/>
    </row>
    <row r="519" spans="4:16">
      <c r="D519" s="596"/>
      <c r="G519" s="37"/>
      <c r="H519" s="37"/>
      <c r="I519" s="37"/>
      <c r="J519" s="37"/>
      <c r="K519" s="37"/>
      <c r="L519" s="37"/>
      <c r="M519" s="37"/>
      <c r="O519" s="39"/>
      <c r="P519" s="37"/>
    </row>
    <row r="520" spans="4:16">
      <c r="D520" s="596"/>
      <c r="G520" s="37"/>
      <c r="H520" s="37"/>
      <c r="I520" s="37"/>
      <c r="J520" s="37"/>
      <c r="K520" s="37"/>
      <c r="L520" s="37"/>
      <c r="M520" s="37"/>
      <c r="O520" s="39"/>
      <c r="P520" s="37"/>
    </row>
    <row r="521" spans="4:16">
      <c r="D521" s="596"/>
      <c r="G521" s="37"/>
      <c r="H521" s="37"/>
      <c r="I521" s="37"/>
      <c r="J521" s="37"/>
      <c r="K521" s="37"/>
      <c r="L521" s="37"/>
      <c r="M521" s="37"/>
      <c r="O521" s="39"/>
      <c r="P521" s="37"/>
    </row>
    <row r="522" spans="4:16">
      <c r="D522" s="596"/>
      <c r="G522" s="37"/>
      <c r="H522" s="37"/>
      <c r="I522" s="37"/>
      <c r="J522" s="37"/>
      <c r="K522" s="37"/>
      <c r="L522" s="37"/>
      <c r="M522" s="37"/>
      <c r="O522" s="39"/>
      <c r="P522" s="37"/>
    </row>
    <row r="523" spans="4:16">
      <c r="D523" s="596"/>
      <c r="G523" s="37"/>
      <c r="H523" s="37"/>
      <c r="I523" s="37"/>
      <c r="J523" s="37"/>
      <c r="K523" s="37"/>
      <c r="L523" s="37"/>
      <c r="M523" s="37"/>
      <c r="O523" s="39"/>
      <c r="P523" s="37"/>
    </row>
    <row r="524" spans="4:16">
      <c r="D524" s="596"/>
      <c r="G524" s="37"/>
      <c r="H524" s="37"/>
      <c r="I524" s="37"/>
      <c r="J524" s="37"/>
      <c r="K524" s="37"/>
      <c r="L524" s="37"/>
      <c r="M524" s="37"/>
      <c r="O524" s="39"/>
      <c r="P524" s="37"/>
    </row>
    <row r="525" spans="4:16">
      <c r="D525" s="596"/>
      <c r="G525" s="37"/>
      <c r="H525" s="37"/>
      <c r="I525" s="37"/>
      <c r="J525" s="37"/>
      <c r="K525" s="37"/>
      <c r="L525" s="37"/>
      <c r="M525" s="37"/>
      <c r="O525" s="39"/>
      <c r="P525" s="37"/>
    </row>
    <row r="526" spans="4:16">
      <c r="D526" s="596"/>
      <c r="G526" s="37"/>
      <c r="H526" s="37"/>
      <c r="I526" s="37"/>
      <c r="J526" s="37"/>
      <c r="K526" s="37"/>
      <c r="L526" s="37"/>
      <c r="M526" s="37"/>
      <c r="O526" s="39"/>
      <c r="P526" s="37"/>
    </row>
    <row r="527" spans="4:16">
      <c r="D527" s="596"/>
      <c r="G527" s="37"/>
      <c r="H527" s="37"/>
      <c r="I527" s="37"/>
      <c r="J527" s="37"/>
      <c r="K527" s="37"/>
      <c r="L527" s="37"/>
      <c r="M527" s="37"/>
      <c r="O527" s="39"/>
      <c r="P527" s="37"/>
    </row>
    <row r="528" spans="4:16">
      <c r="D528" s="596"/>
      <c r="G528" s="37"/>
      <c r="H528" s="37"/>
      <c r="I528" s="37"/>
      <c r="J528" s="37"/>
      <c r="K528" s="37"/>
      <c r="L528" s="37"/>
      <c r="M528" s="37"/>
      <c r="O528" s="39"/>
      <c r="P528" s="37"/>
    </row>
    <row r="529" spans="4:16">
      <c r="D529" s="596"/>
      <c r="G529" s="37"/>
      <c r="H529" s="37"/>
      <c r="I529" s="37"/>
      <c r="J529" s="37"/>
      <c r="K529" s="37"/>
      <c r="L529" s="37"/>
      <c r="M529" s="37"/>
      <c r="O529" s="39"/>
      <c r="P529" s="37"/>
    </row>
    <row r="530" spans="4:16">
      <c r="D530" s="596"/>
      <c r="G530" s="37"/>
      <c r="H530" s="37"/>
      <c r="I530" s="37"/>
      <c r="J530" s="37"/>
      <c r="K530" s="37"/>
      <c r="L530" s="37"/>
      <c r="M530" s="37"/>
      <c r="O530" s="39"/>
      <c r="P530" s="37"/>
    </row>
    <row r="531" spans="4:16">
      <c r="D531" s="596"/>
      <c r="G531" s="37"/>
      <c r="H531" s="37"/>
      <c r="I531" s="37"/>
      <c r="J531" s="37"/>
      <c r="K531" s="37"/>
      <c r="L531" s="37"/>
      <c r="M531" s="37"/>
      <c r="O531" s="39"/>
      <c r="P531" s="37"/>
    </row>
    <row r="532" spans="4:16">
      <c r="D532" s="596"/>
      <c r="G532" s="37"/>
      <c r="H532" s="37"/>
      <c r="I532" s="37"/>
      <c r="J532" s="37"/>
      <c r="K532" s="37"/>
      <c r="L532" s="37"/>
      <c r="M532" s="37"/>
      <c r="O532" s="39"/>
      <c r="P532" s="37"/>
    </row>
    <row r="533" spans="4:16">
      <c r="D533" s="596"/>
      <c r="G533" s="37"/>
      <c r="H533" s="37"/>
      <c r="I533" s="37"/>
      <c r="J533" s="37"/>
      <c r="K533" s="37"/>
      <c r="L533" s="37"/>
      <c r="M533" s="37"/>
      <c r="O533" s="39"/>
      <c r="P533" s="37"/>
    </row>
    <row r="534" spans="4:16">
      <c r="D534" s="596"/>
      <c r="G534" s="37"/>
      <c r="H534" s="37"/>
      <c r="I534" s="37"/>
      <c r="J534" s="37"/>
      <c r="K534" s="37"/>
      <c r="L534" s="37"/>
      <c r="M534" s="37"/>
      <c r="O534" s="39"/>
      <c r="P534" s="37"/>
    </row>
    <row r="535" spans="4:16">
      <c r="D535" s="596"/>
      <c r="G535" s="37"/>
      <c r="H535" s="37"/>
      <c r="I535" s="37"/>
      <c r="J535" s="37"/>
      <c r="K535" s="37"/>
      <c r="L535" s="37"/>
      <c r="M535" s="37"/>
      <c r="O535" s="39"/>
      <c r="P535" s="37"/>
    </row>
    <row r="536" spans="4:16">
      <c r="D536" s="596"/>
      <c r="G536" s="37"/>
      <c r="H536" s="37"/>
      <c r="I536" s="37"/>
      <c r="J536" s="37"/>
      <c r="K536" s="37"/>
      <c r="L536" s="37"/>
      <c r="M536" s="37"/>
      <c r="O536" s="39"/>
      <c r="P536" s="37"/>
    </row>
    <row r="537" spans="4:16">
      <c r="D537" s="596"/>
      <c r="G537" s="37"/>
      <c r="H537" s="37"/>
      <c r="I537" s="37"/>
      <c r="J537" s="37"/>
      <c r="K537" s="37"/>
      <c r="L537" s="37"/>
      <c r="M537" s="37"/>
      <c r="O537" s="39"/>
      <c r="P537" s="37"/>
    </row>
    <row r="538" spans="4:16">
      <c r="D538" s="596"/>
      <c r="G538" s="37"/>
      <c r="H538" s="37"/>
      <c r="I538" s="37"/>
      <c r="J538" s="37"/>
      <c r="K538" s="37"/>
      <c r="L538" s="37"/>
      <c r="M538" s="37"/>
      <c r="O538" s="39"/>
      <c r="P538" s="37"/>
    </row>
    <row r="539" spans="4:16">
      <c r="D539" s="596"/>
      <c r="G539" s="37"/>
      <c r="H539" s="37"/>
      <c r="I539" s="37"/>
      <c r="J539" s="37"/>
      <c r="K539" s="37"/>
      <c r="L539" s="37"/>
      <c r="M539" s="37"/>
      <c r="O539" s="39"/>
      <c r="P539" s="37"/>
    </row>
    <row r="540" spans="4:16">
      <c r="D540" s="596"/>
      <c r="G540" s="37"/>
      <c r="H540" s="37"/>
      <c r="I540" s="37"/>
      <c r="J540" s="37"/>
      <c r="K540" s="37"/>
      <c r="L540" s="37"/>
      <c r="M540" s="37"/>
      <c r="O540" s="39"/>
      <c r="P540" s="37"/>
    </row>
    <row r="541" spans="4:16">
      <c r="D541" s="596"/>
      <c r="G541" s="37"/>
      <c r="H541" s="37"/>
      <c r="I541" s="37"/>
      <c r="J541" s="37"/>
      <c r="K541" s="37"/>
      <c r="L541" s="37"/>
      <c r="M541" s="37"/>
      <c r="O541" s="39"/>
      <c r="P541" s="37"/>
    </row>
    <row r="542" spans="4:16">
      <c r="D542" s="596"/>
      <c r="G542" s="37"/>
      <c r="H542" s="37"/>
      <c r="I542" s="37"/>
      <c r="J542" s="37"/>
      <c r="K542" s="37"/>
      <c r="L542" s="37"/>
      <c r="M542" s="37"/>
      <c r="O542" s="39"/>
      <c r="P542" s="37"/>
    </row>
    <row r="543" spans="4:16">
      <c r="D543" s="596"/>
      <c r="G543" s="37"/>
      <c r="H543" s="37"/>
      <c r="I543" s="37"/>
      <c r="J543" s="37"/>
      <c r="K543" s="37"/>
      <c r="L543" s="37"/>
      <c r="M543" s="37"/>
      <c r="O543" s="39"/>
      <c r="P543" s="37"/>
    </row>
    <row r="544" spans="4:16">
      <c r="D544" s="596"/>
      <c r="G544" s="37"/>
      <c r="H544" s="37"/>
      <c r="I544" s="37"/>
      <c r="J544" s="37"/>
      <c r="K544" s="37"/>
      <c r="L544" s="37"/>
      <c r="M544" s="37"/>
      <c r="O544" s="39"/>
      <c r="P544" s="37"/>
    </row>
    <row r="545" spans="4:16">
      <c r="D545" s="596"/>
      <c r="G545" s="37"/>
      <c r="H545" s="37"/>
      <c r="I545" s="37"/>
      <c r="J545" s="37"/>
      <c r="K545" s="37"/>
      <c r="L545" s="37"/>
      <c r="M545" s="37"/>
      <c r="O545" s="39"/>
      <c r="P545" s="37"/>
    </row>
    <row r="546" spans="4:16">
      <c r="D546" s="596"/>
      <c r="G546" s="37"/>
      <c r="H546" s="37"/>
      <c r="I546" s="37"/>
      <c r="J546" s="37"/>
      <c r="K546" s="37"/>
      <c r="L546" s="37"/>
      <c r="M546" s="37"/>
      <c r="O546" s="39"/>
      <c r="P546" s="37"/>
    </row>
    <row r="547" spans="4:16">
      <c r="D547" s="596"/>
      <c r="G547" s="37"/>
      <c r="H547" s="37"/>
      <c r="I547" s="37"/>
      <c r="J547" s="37"/>
      <c r="K547" s="37"/>
      <c r="L547" s="37"/>
      <c r="M547" s="37"/>
      <c r="O547" s="39"/>
      <c r="P547" s="37"/>
    </row>
    <row r="548" spans="4:16">
      <c r="D548" s="596"/>
      <c r="G548" s="37"/>
      <c r="H548" s="37"/>
      <c r="I548" s="37"/>
      <c r="J548" s="37"/>
      <c r="K548" s="37"/>
      <c r="L548" s="37"/>
      <c r="M548" s="37"/>
      <c r="O548" s="39"/>
      <c r="P548" s="37"/>
    </row>
    <row r="549" spans="4:16">
      <c r="D549" s="596"/>
      <c r="G549" s="37"/>
      <c r="H549" s="37"/>
      <c r="I549" s="37"/>
      <c r="J549" s="37"/>
      <c r="K549" s="37"/>
      <c r="L549" s="37"/>
      <c r="M549" s="37"/>
      <c r="O549" s="39"/>
      <c r="P549" s="37"/>
    </row>
    <row r="550" spans="4:16">
      <c r="D550" s="596"/>
      <c r="G550" s="37"/>
      <c r="H550" s="37"/>
      <c r="I550" s="37"/>
      <c r="J550" s="37"/>
      <c r="K550" s="37"/>
      <c r="L550" s="37"/>
      <c r="M550" s="37"/>
      <c r="O550" s="39"/>
      <c r="P550" s="37"/>
    </row>
    <row r="551" spans="4:16">
      <c r="D551" s="596"/>
      <c r="G551" s="37"/>
      <c r="H551" s="37"/>
      <c r="I551" s="37"/>
      <c r="J551" s="37"/>
      <c r="K551" s="37"/>
      <c r="L551" s="37"/>
      <c r="M551" s="37"/>
      <c r="O551" s="39"/>
      <c r="P551" s="37"/>
    </row>
    <row r="552" spans="4:16">
      <c r="D552" s="596"/>
      <c r="G552" s="37"/>
      <c r="H552" s="37"/>
      <c r="I552" s="37"/>
      <c r="J552" s="37"/>
      <c r="K552" s="37"/>
      <c r="L552" s="37"/>
      <c r="M552" s="37"/>
      <c r="O552" s="39"/>
      <c r="P552" s="37"/>
    </row>
    <row r="553" spans="4:16">
      <c r="D553" s="596"/>
      <c r="G553" s="37"/>
      <c r="H553" s="37"/>
      <c r="I553" s="37"/>
      <c r="J553" s="37"/>
      <c r="K553" s="37"/>
      <c r="L553" s="37"/>
      <c r="M553" s="37"/>
      <c r="O553" s="39"/>
      <c r="P553" s="37"/>
    </row>
    <row r="554" spans="4:16">
      <c r="D554" s="596"/>
      <c r="G554" s="37"/>
      <c r="H554" s="37"/>
      <c r="I554" s="37"/>
      <c r="J554" s="37"/>
      <c r="K554" s="37"/>
      <c r="L554" s="37"/>
      <c r="M554" s="37"/>
      <c r="O554" s="39"/>
      <c r="P554" s="37"/>
    </row>
    <row r="555" spans="4:16">
      <c r="D555" s="596"/>
      <c r="G555" s="37"/>
      <c r="H555" s="37"/>
      <c r="I555" s="37"/>
      <c r="J555" s="37"/>
      <c r="K555" s="37"/>
      <c r="L555" s="37"/>
      <c r="M555" s="37"/>
      <c r="O555" s="39"/>
      <c r="P555" s="37"/>
    </row>
    <row r="556" spans="4:16">
      <c r="D556" s="596"/>
      <c r="G556" s="37"/>
      <c r="H556" s="37"/>
      <c r="I556" s="37"/>
      <c r="J556" s="37"/>
      <c r="K556" s="37"/>
      <c r="L556" s="37"/>
      <c r="M556" s="37"/>
      <c r="O556" s="39"/>
      <c r="P556" s="37"/>
    </row>
    <row r="557" spans="4:16">
      <c r="D557" s="596"/>
      <c r="G557" s="37"/>
      <c r="H557" s="37"/>
      <c r="I557" s="37"/>
      <c r="J557" s="37"/>
      <c r="K557" s="37"/>
      <c r="L557" s="37"/>
      <c r="M557" s="37"/>
      <c r="O557" s="39"/>
      <c r="P557" s="37"/>
    </row>
    <row r="558" spans="4:16">
      <c r="D558" s="596"/>
      <c r="G558" s="37"/>
      <c r="H558" s="37"/>
      <c r="I558" s="37"/>
      <c r="J558" s="37"/>
      <c r="K558" s="37"/>
      <c r="L558" s="37"/>
      <c r="M558" s="37"/>
      <c r="O558" s="39"/>
      <c r="P558" s="37"/>
    </row>
    <row r="559" spans="4:16">
      <c r="D559" s="596"/>
      <c r="G559" s="37"/>
      <c r="H559" s="37"/>
      <c r="I559" s="37"/>
      <c r="J559" s="37"/>
      <c r="K559" s="37"/>
      <c r="L559" s="37"/>
      <c r="M559" s="37"/>
      <c r="O559" s="39"/>
      <c r="P559" s="37"/>
    </row>
    <row r="560" spans="4:16">
      <c r="D560" s="596"/>
      <c r="G560" s="37"/>
      <c r="H560" s="37"/>
      <c r="I560" s="37"/>
      <c r="J560" s="37"/>
      <c r="K560" s="37"/>
      <c r="L560" s="37"/>
      <c r="M560" s="37"/>
      <c r="O560" s="39"/>
      <c r="P560" s="37"/>
    </row>
    <row r="561" spans="4:16">
      <c r="D561" s="596"/>
      <c r="G561" s="37"/>
      <c r="H561" s="37"/>
      <c r="I561" s="37"/>
      <c r="J561" s="37"/>
      <c r="K561" s="37"/>
      <c r="L561" s="37"/>
      <c r="M561" s="37"/>
      <c r="O561" s="39"/>
      <c r="P561" s="37"/>
    </row>
    <row r="562" spans="4:16">
      <c r="D562" s="596"/>
      <c r="G562" s="37"/>
      <c r="H562" s="37"/>
      <c r="I562" s="37"/>
      <c r="J562" s="37"/>
      <c r="K562" s="37"/>
      <c r="L562" s="37"/>
      <c r="M562" s="37"/>
      <c r="O562" s="39"/>
      <c r="P562" s="37"/>
    </row>
    <row r="563" spans="4:16">
      <c r="D563" s="596"/>
      <c r="G563" s="37"/>
      <c r="H563" s="37"/>
      <c r="I563" s="37"/>
      <c r="J563" s="37"/>
      <c r="K563" s="37"/>
      <c r="L563" s="37"/>
      <c r="M563" s="37"/>
      <c r="O563" s="39"/>
      <c r="P563" s="37"/>
    </row>
    <row r="564" spans="4:16">
      <c r="D564" s="596"/>
      <c r="G564" s="37"/>
      <c r="H564" s="37"/>
      <c r="I564" s="37"/>
      <c r="J564" s="37"/>
      <c r="K564" s="37"/>
      <c r="L564" s="37"/>
      <c r="M564" s="37"/>
      <c r="O564" s="39"/>
      <c r="P564" s="37"/>
    </row>
    <row r="565" spans="4:16">
      <c r="D565" s="596"/>
      <c r="G565" s="37"/>
      <c r="H565" s="37"/>
      <c r="I565" s="37"/>
      <c r="J565" s="37"/>
      <c r="K565" s="37"/>
      <c r="L565" s="37"/>
      <c r="M565" s="37"/>
      <c r="O565" s="39"/>
      <c r="P565" s="37"/>
    </row>
    <row r="566" spans="4:16">
      <c r="D566" s="596"/>
      <c r="G566" s="37"/>
      <c r="H566" s="37"/>
      <c r="I566" s="37"/>
      <c r="J566" s="37"/>
      <c r="K566" s="37"/>
      <c r="L566" s="37"/>
      <c r="M566" s="37"/>
      <c r="O566" s="39"/>
      <c r="P566" s="37"/>
    </row>
    <row r="567" spans="4:16">
      <c r="D567" s="596"/>
      <c r="G567" s="37"/>
      <c r="H567" s="37"/>
      <c r="I567" s="37"/>
      <c r="J567" s="37"/>
      <c r="K567" s="37"/>
      <c r="L567" s="37"/>
      <c r="M567" s="37"/>
      <c r="O567" s="39"/>
      <c r="P567" s="37"/>
    </row>
    <row r="568" spans="4:16">
      <c r="D568" s="596"/>
      <c r="G568" s="37"/>
      <c r="H568" s="37"/>
      <c r="I568" s="37"/>
      <c r="J568" s="37"/>
      <c r="K568" s="37"/>
      <c r="L568" s="37"/>
      <c r="M568" s="37"/>
      <c r="O568" s="39"/>
      <c r="P568" s="37"/>
    </row>
    <row r="569" spans="4:16">
      <c r="D569" s="596"/>
      <c r="G569" s="37"/>
      <c r="H569" s="37"/>
      <c r="I569" s="37"/>
      <c r="J569" s="37"/>
      <c r="K569" s="37"/>
      <c r="L569" s="37"/>
      <c r="M569" s="37"/>
      <c r="O569" s="39"/>
      <c r="P569" s="37"/>
    </row>
    <row r="570" spans="4:16">
      <c r="D570" s="596"/>
      <c r="G570" s="37"/>
      <c r="H570" s="37"/>
      <c r="I570" s="37"/>
      <c r="J570" s="37"/>
      <c r="K570" s="37"/>
      <c r="L570" s="37"/>
      <c r="M570" s="37"/>
      <c r="O570" s="39"/>
      <c r="P570" s="37"/>
    </row>
    <row r="571" spans="4:16">
      <c r="D571" s="596"/>
      <c r="G571" s="37"/>
      <c r="H571" s="37"/>
      <c r="I571" s="37"/>
      <c r="J571" s="37"/>
      <c r="K571" s="37"/>
      <c r="L571" s="37"/>
      <c r="M571" s="37"/>
      <c r="O571" s="39"/>
      <c r="P571" s="37"/>
    </row>
    <row r="572" spans="4:16">
      <c r="D572" s="596"/>
      <c r="G572" s="37"/>
      <c r="H572" s="37"/>
      <c r="I572" s="37"/>
      <c r="J572" s="37"/>
      <c r="K572" s="37"/>
      <c r="L572" s="37"/>
      <c r="M572" s="37"/>
      <c r="O572" s="39"/>
      <c r="P572" s="37"/>
    </row>
    <row r="573" spans="4:16">
      <c r="D573" s="596"/>
      <c r="G573" s="37"/>
      <c r="H573" s="37"/>
      <c r="I573" s="37"/>
      <c r="J573" s="37"/>
      <c r="K573" s="37"/>
      <c r="L573" s="37"/>
      <c r="M573" s="37"/>
      <c r="O573" s="39"/>
      <c r="P573" s="37"/>
    </row>
    <row r="574" spans="4:16">
      <c r="D574" s="596"/>
      <c r="G574" s="37"/>
      <c r="H574" s="37"/>
      <c r="I574" s="37"/>
      <c r="J574" s="37"/>
      <c r="K574" s="37"/>
      <c r="L574" s="37"/>
      <c r="M574" s="37"/>
      <c r="O574" s="39"/>
      <c r="P574" s="37"/>
    </row>
    <row r="575" spans="4:16">
      <c r="D575" s="596"/>
      <c r="G575" s="37"/>
      <c r="H575" s="37"/>
      <c r="I575" s="37"/>
      <c r="J575" s="37"/>
      <c r="K575" s="37"/>
      <c r="L575" s="37"/>
      <c r="M575" s="37"/>
      <c r="O575" s="39"/>
      <c r="P575" s="37"/>
    </row>
    <row r="576" spans="4:16">
      <c r="D576" s="596"/>
      <c r="G576" s="37"/>
      <c r="H576" s="37"/>
      <c r="I576" s="37"/>
      <c r="J576" s="37"/>
      <c r="K576" s="37"/>
      <c r="L576" s="37"/>
      <c r="M576" s="37"/>
      <c r="O576" s="39"/>
      <c r="P576" s="37"/>
    </row>
    <row r="577" spans="4:16">
      <c r="D577" s="596"/>
      <c r="G577" s="37"/>
      <c r="H577" s="37"/>
      <c r="I577" s="37"/>
      <c r="J577" s="37"/>
      <c r="K577" s="37"/>
      <c r="L577" s="37"/>
      <c r="M577" s="37"/>
      <c r="O577" s="39"/>
      <c r="P577" s="37"/>
    </row>
    <row r="578" spans="4:16">
      <c r="D578" s="596"/>
      <c r="G578" s="37"/>
      <c r="H578" s="37"/>
      <c r="I578" s="37"/>
      <c r="J578" s="37"/>
      <c r="K578" s="37"/>
      <c r="L578" s="37"/>
      <c r="M578" s="37"/>
      <c r="O578" s="39"/>
      <c r="P578" s="37"/>
    </row>
    <row r="579" spans="4:16">
      <c r="D579" s="596"/>
      <c r="G579" s="37"/>
      <c r="H579" s="37"/>
      <c r="I579" s="37"/>
      <c r="J579" s="37"/>
      <c r="K579" s="37"/>
      <c r="L579" s="37"/>
      <c r="M579" s="37"/>
      <c r="O579" s="39"/>
      <c r="P579" s="37"/>
    </row>
    <row r="580" spans="4:16">
      <c r="D580" s="596"/>
      <c r="G580" s="37"/>
      <c r="H580" s="37"/>
      <c r="I580" s="37"/>
      <c r="J580" s="37"/>
      <c r="K580" s="37"/>
      <c r="L580" s="37"/>
      <c r="M580" s="37"/>
      <c r="O580" s="39"/>
      <c r="P580" s="37"/>
    </row>
    <row r="581" spans="4:16">
      <c r="D581" s="596"/>
      <c r="G581" s="37"/>
      <c r="H581" s="37"/>
      <c r="I581" s="37"/>
      <c r="J581" s="37"/>
      <c r="K581" s="37"/>
      <c r="L581" s="37"/>
      <c r="M581" s="37"/>
      <c r="O581" s="39"/>
      <c r="P581" s="37"/>
    </row>
    <row r="582" spans="4:16">
      <c r="D582" s="596"/>
      <c r="G582" s="37"/>
      <c r="H582" s="37"/>
      <c r="I582" s="37"/>
      <c r="J582" s="37"/>
      <c r="K582" s="37"/>
      <c r="L582" s="37"/>
      <c r="M582" s="37"/>
      <c r="O582" s="39"/>
      <c r="P582" s="37"/>
    </row>
    <row r="583" spans="4:16">
      <c r="D583" s="596"/>
      <c r="G583" s="37"/>
      <c r="H583" s="37"/>
      <c r="I583" s="37"/>
      <c r="J583" s="37"/>
      <c r="K583" s="37"/>
      <c r="L583" s="37"/>
      <c r="M583" s="37"/>
      <c r="O583" s="39"/>
      <c r="P583" s="37"/>
    </row>
    <row r="584" spans="4:16">
      <c r="D584" s="596"/>
      <c r="G584" s="37"/>
      <c r="H584" s="37"/>
      <c r="I584" s="37"/>
      <c r="J584" s="37"/>
      <c r="K584" s="37"/>
      <c r="L584" s="37"/>
      <c r="M584" s="37"/>
      <c r="O584" s="39"/>
      <c r="P584" s="37"/>
    </row>
    <row r="585" spans="4:16">
      <c r="D585" s="596"/>
      <c r="G585" s="37"/>
      <c r="H585" s="37"/>
      <c r="I585" s="37"/>
      <c r="J585" s="37"/>
      <c r="K585" s="37"/>
      <c r="L585" s="37"/>
      <c r="M585" s="37"/>
      <c r="O585" s="39"/>
      <c r="P585" s="37"/>
    </row>
    <row r="586" spans="4:16">
      <c r="D586" s="596"/>
      <c r="G586" s="37"/>
      <c r="H586" s="37"/>
      <c r="I586" s="37"/>
      <c r="J586" s="37"/>
      <c r="K586" s="37"/>
      <c r="L586" s="37"/>
      <c r="M586" s="37"/>
      <c r="O586" s="39"/>
      <c r="P586" s="37"/>
    </row>
    <row r="587" spans="4:16">
      <c r="D587" s="596"/>
      <c r="G587" s="37"/>
      <c r="H587" s="37"/>
      <c r="I587" s="37"/>
      <c r="J587" s="37"/>
      <c r="K587" s="37"/>
      <c r="L587" s="37"/>
      <c r="M587" s="37"/>
      <c r="O587" s="39"/>
      <c r="P587" s="37"/>
    </row>
    <row r="588" spans="4:16">
      <c r="D588" s="596"/>
      <c r="G588" s="37"/>
      <c r="H588" s="37"/>
      <c r="I588" s="37"/>
      <c r="J588" s="37"/>
      <c r="K588" s="37"/>
      <c r="L588" s="37"/>
      <c r="M588" s="37"/>
      <c r="O588" s="39"/>
      <c r="P588" s="37"/>
    </row>
    <row r="589" spans="4:16">
      <c r="D589" s="596"/>
      <c r="G589" s="37"/>
      <c r="H589" s="37"/>
      <c r="I589" s="37"/>
      <c r="J589" s="37"/>
      <c r="K589" s="37"/>
      <c r="L589" s="37"/>
      <c r="M589" s="37"/>
      <c r="O589" s="39"/>
      <c r="P589" s="37"/>
    </row>
    <row r="590" spans="4:16">
      <c r="D590" s="596"/>
      <c r="G590" s="37"/>
      <c r="H590" s="37"/>
      <c r="I590" s="37"/>
      <c r="J590" s="37"/>
      <c r="K590" s="37"/>
      <c r="L590" s="37"/>
      <c r="M590" s="37"/>
      <c r="O590" s="39"/>
      <c r="P590" s="37"/>
    </row>
    <row r="591" spans="4:16">
      <c r="D591" s="596"/>
      <c r="G591" s="37"/>
      <c r="H591" s="37"/>
      <c r="I591" s="37"/>
      <c r="J591" s="37"/>
      <c r="K591" s="37"/>
      <c r="L591" s="37"/>
      <c r="M591" s="37"/>
      <c r="O591" s="39"/>
      <c r="P591" s="37"/>
    </row>
    <row r="592" spans="4:16">
      <c r="D592" s="596"/>
      <c r="G592" s="37"/>
      <c r="H592" s="37"/>
      <c r="I592" s="37"/>
      <c r="J592" s="37"/>
      <c r="K592" s="37"/>
      <c r="L592" s="37"/>
      <c r="M592" s="37"/>
      <c r="O592" s="39"/>
      <c r="P592" s="37"/>
    </row>
    <row r="593" spans="4:16">
      <c r="D593" s="596"/>
      <c r="G593" s="37"/>
      <c r="H593" s="37"/>
      <c r="I593" s="37"/>
      <c r="J593" s="37"/>
      <c r="K593" s="37"/>
      <c r="L593" s="37"/>
      <c r="M593" s="37"/>
      <c r="O593" s="39"/>
      <c r="P593" s="37"/>
    </row>
    <row r="594" spans="4:16">
      <c r="D594" s="596"/>
      <c r="G594" s="37"/>
      <c r="H594" s="37"/>
      <c r="I594" s="37"/>
      <c r="J594" s="37"/>
      <c r="K594" s="37"/>
      <c r="L594" s="37"/>
      <c r="M594" s="37"/>
      <c r="O594" s="39"/>
      <c r="P594" s="37"/>
    </row>
    <row r="595" spans="4:16">
      <c r="D595" s="596"/>
      <c r="G595" s="37"/>
      <c r="H595" s="37"/>
      <c r="I595" s="37"/>
      <c r="J595" s="37"/>
      <c r="K595" s="37"/>
      <c r="L595" s="37"/>
      <c r="M595" s="37"/>
      <c r="O595" s="39"/>
      <c r="P595" s="37"/>
    </row>
    <row r="596" spans="4:16">
      <c r="D596" s="596"/>
      <c r="G596" s="37"/>
      <c r="H596" s="37"/>
      <c r="I596" s="37"/>
      <c r="J596" s="37"/>
      <c r="K596" s="37"/>
      <c r="L596" s="37"/>
      <c r="M596" s="37"/>
      <c r="O596" s="39"/>
      <c r="P596" s="37"/>
    </row>
    <row r="597" spans="4:16">
      <c r="D597" s="596"/>
      <c r="G597" s="37"/>
      <c r="H597" s="37"/>
      <c r="I597" s="37"/>
      <c r="J597" s="37"/>
      <c r="K597" s="37"/>
      <c r="L597" s="37"/>
      <c r="M597" s="37"/>
      <c r="O597" s="39"/>
      <c r="P597" s="37"/>
    </row>
    <row r="598" spans="4:16">
      <c r="D598" s="596"/>
      <c r="G598" s="37"/>
      <c r="H598" s="37"/>
      <c r="I598" s="37"/>
      <c r="J598" s="37"/>
      <c r="K598" s="37"/>
      <c r="L598" s="37"/>
      <c r="M598" s="37"/>
      <c r="O598" s="39"/>
      <c r="P598" s="37"/>
    </row>
    <row r="599" spans="4:16">
      <c r="D599" s="596"/>
      <c r="G599" s="37"/>
      <c r="H599" s="37"/>
      <c r="I599" s="37"/>
      <c r="J599" s="37"/>
      <c r="K599" s="37"/>
      <c r="L599" s="37"/>
      <c r="M599" s="37"/>
      <c r="O599" s="39"/>
      <c r="P599" s="37"/>
    </row>
    <row r="600" spans="4:16">
      <c r="D600" s="596"/>
      <c r="G600" s="37"/>
      <c r="H600" s="37"/>
      <c r="I600" s="37"/>
      <c r="J600" s="37"/>
      <c r="K600" s="37"/>
      <c r="L600" s="37"/>
      <c r="M600" s="37"/>
      <c r="O600" s="39"/>
      <c r="P600" s="37"/>
    </row>
    <row r="601" spans="4:16">
      <c r="D601" s="596"/>
      <c r="G601" s="37"/>
      <c r="H601" s="37"/>
      <c r="I601" s="37"/>
      <c r="J601" s="37"/>
      <c r="K601" s="37"/>
      <c r="L601" s="37"/>
      <c r="M601" s="37"/>
      <c r="O601" s="39"/>
      <c r="P601" s="37"/>
    </row>
    <row r="602" spans="4:16">
      <c r="D602" s="596"/>
      <c r="G602" s="37"/>
      <c r="H602" s="37"/>
      <c r="I602" s="37"/>
      <c r="J602" s="37"/>
      <c r="K602" s="37"/>
      <c r="L602" s="37"/>
      <c r="M602" s="37"/>
      <c r="O602" s="39"/>
      <c r="P602" s="37"/>
    </row>
    <row r="603" spans="4:16">
      <c r="D603" s="596"/>
      <c r="G603" s="37"/>
      <c r="H603" s="37"/>
      <c r="I603" s="37"/>
      <c r="J603" s="37"/>
      <c r="K603" s="37"/>
      <c r="L603" s="37"/>
      <c r="M603" s="37"/>
      <c r="O603" s="39"/>
      <c r="P603" s="37"/>
    </row>
    <row r="604" spans="4:16">
      <c r="D604" s="596"/>
      <c r="G604" s="37"/>
      <c r="H604" s="37"/>
      <c r="I604" s="37"/>
      <c r="J604" s="37"/>
      <c r="K604" s="37"/>
      <c r="L604" s="37"/>
      <c r="M604" s="37"/>
      <c r="O604" s="39"/>
      <c r="P604" s="37"/>
    </row>
    <row r="605" spans="4:16">
      <c r="D605" s="596"/>
      <c r="G605" s="37"/>
      <c r="H605" s="37"/>
      <c r="I605" s="37"/>
      <c r="J605" s="37"/>
      <c r="K605" s="37"/>
      <c r="L605" s="37"/>
      <c r="M605" s="37"/>
      <c r="O605" s="39"/>
      <c r="P605" s="37"/>
    </row>
    <row r="606" spans="4:16">
      <c r="D606" s="596"/>
      <c r="G606" s="37"/>
      <c r="H606" s="37"/>
      <c r="I606" s="37"/>
      <c r="J606" s="37"/>
      <c r="K606" s="37"/>
      <c r="L606" s="37"/>
      <c r="M606" s="37"/>
      <c r="O606" s="39"/>
      <c r="P606" s="37"/>
    </row>
    <row r="607" spans="4:16">
      <c r="D607" s="596"/>
      <c r="G607" s="37"/>
      <c r="H607" s="37"/>
      <c r="I607" s="37"/>
      <c r="J607" s="37"/>
      <c r="K607" s="37"/>
      <c r="L607" s="37"/>
      <c r="M607" s="37"/>
      <c r="O607" s="39"/>
      <c r="P607" s="37"/>
    </row>
    <row r="608" spans="4:16">
      <c r="D608" s="596"/>
      <c r="G608" s="37"/>
      <c r="H608" s="37"/>
      <c r="I608" s="37"/>
      <c r="J608" s="37"/>
      <c r="K608" s="37"/>
      <c r="L608" s="37"/>
      <c r="M608" s="37"/>
      <c r="O608" s="39"/>
      <c r="P608" s="37"/>
    </row>
    <row r="609" spans="4:16">
      <c r="D609" s="596"/>
      <c r="G609" s="37"/>
      <c r="H609" s="37"/>
      <c r="I609" s="37"/>
      <c r="J609" s="37"/>
      <c r="K609" s="37"/>
      <c r="L609" s="37"/>
      <c r="M609" s="37"/>
      <c r="O609" s="39"/>
      <c r="P609" s="37"/>
    </row>
    <row r="610" spans="4:16">
      <c r="D610" s="596"/>
      <c r="G610" s="37"/>
      <c r="H610" s="37"/>
      <c r="I610" s="37"/>
      <c r="J610" s="37"/>
      <c r="K610" s="37"/>
      <c r="L610" s="37"/>
      <c r="M610" s="37"/>
      <c r="O610" s="39"/>
      <c r="P610" s="37"/>
    </row>
    <row r="611" spans="4:16">
      <c r="D611" s="596"/>
      <c r="G611" s="37"/>
      <c r="H611" s="37"/>
      <c r="I611" s="37"/>
      <c r="J611" s="37"/>
      <c r="K611" s="37"/>
      <c r="L611" s="37"/>
      <c r="M611" s="37"/>
      <c r="O611" s="39"/>
      <c r="P611" s="37"/>
    </row>
    <row r="612" spans="4:16">
      <c r="D612" s="596"/>
      <c r="G612" s="37"/>
      <c r="H612" s="37"/>
      <c r="I612" s="37"/>
      <c r="J612" s="37"/>
      <c r="K612" s="37"/>
      <c r="L612" s="37"/>
      <c r="M612" s="37"/>
      <c r="O612" s="39"/>
      <c r="P612" s="37"/>
    </row>
    <row r="613" spans="4:16">
      <c r="D613" s="596"/>
      <c r="G613" s="37"/>
      <c r="H613" s="37"/>
      <c r="I613" s="37"/>
      <c r="J613" s="37"/>
      <c r="K613" s="37"/>
      <c r="L613" s="37"/>
      <c r="M613" s="37"/>
      <c r="O613" s="39"/>
      <c r="P613" s="37"/>
    </row>
    <row r="614" spans="4:16">
      <c r="D614" s="596"/>
      <c r="G614" s="37"/>
      <c r="H614" s="37"/>
      <c r="I614" s="37"/>
      <c r="J614" s="37"/>
      <c r="K614" s="37"/>
      <c r="L614" s="37"/>
      <c r="M614" s="37"/>
      <c r="O614" s="39"/>
      <c r="P614" s="37"/>
    </row>
    <row r="615" spans="4:16">
      <c r="D615" s="596"/>
      <c r="G615" s="37"/>
      <c r="H615" s="37"/>
      <c r="I615" s="37"/>
      <c r="J615" s="37"/>
      <c r="K615" s="37"/>
      <c r="L615" s="37"/>
      <c r="M615" s="37"/>
      <c r="O615" s="39"/>
      <c r="P615" s="37"/>
    </row>
    <row r="616" spans="4:16">
      <c r="D616" s="596"/>
      <c r="G616" s="37"/>
      <c r="H616" s="37"/>
      <c r="I616" s="37"/>
      <c r="J616" s="37"/>
      <c r="K616" s="37"/>
      <c r="L616" s="37"/>
      <c r="M616" s="37"/>
      <c r="O616" s="39"/>
      <c r="P616" s="37"/>
    </row>
    <row r="617" spans="4:16">
      <c r="D617" s="596"/>
      <c r="G617" s="37"/>
      <c r="H617" s="37"/>
      <c r="I617" s="37"/>
      <c r="J617" s="37"/>
      <c r="K617" s="37"/>
      <c r="L617" s="37"/>
      <c r="M617" s="37"/>
      <c r="O617" s="39"/>
      <c r="P617" s="37"/>
    </row>
    <row r="618" spans="4:16">
      <c r="D618" s="596"/>
      <c r="G618" s="37"/>
      <c r="H618" s="37"/>
      <c r="I618" s="37"/>
      <c r="J618" s="37"/>
      <c r="K618" s="37"/>
      <c r="L618" s="37"/>
      <c r="M618" s="37"/>
      <c r="O618" s="39"/>
      <c r="P618" s="37"/>
    </row>
    <row r="619" spans="4:16">
      <c r="D619" s="596"/>
      <c r="G619" s="37"/>
      <c r="H619" s="37"/>
      <c r="I619" s="37"/>
      <c r="J619" s="37"/>
      <c r="K619" s="37"/>
      <c r="L619" s="37"/>
      <c r="M619" s="37"/>
      <c r="O619" s="39"/>
      <c r="P619" s="37"/>
    </row>
    <row r="620" spans="4:16">
      <c r="D620" s="596"/>
      <c r="G620" s="37"/>
      <c r="H620" s="37"/>
      <c r="I620" s="37"/>
      <c r="J620" s="37"/>
      <c r="K620" s="37"/>
      <c r="L620" s="37"/>
      <c r="M620" s="37"/>
      <c r="O620" s="39"/>
      <c r="P620" s="37"/>
    </row>
    <row r="621" spans="4:16">
      <c r="D621" s="596"/>
      <c r="G621" s="37"/>
      <c r="H621" s="37"/>
      <c r="I621" s="37"/>
      <c r="J621" s="37"/>
      <c r="K621" s="37"/>
      <c r="L621" s="37"/>
      <c r="M621" s="37"/>
      <c r="O621" s="39"/>
      <c r="P621" s="37"/>
    </row>
    <row r="622" spans="4:16">
      <c r="D622" s="596"/>
      <c r="G622" s="37"/>
      <c r="H622" s="37"/>
      <c r="I622" s="37"/>
      <c r="J622" s="37"/>
      <c r="K622" s="37"/>
      <c r="L622" s="37"/>
      <c r="M622" s="37"/>
      <c r="O622" s="39"/>
      <c r="P622" s="37"/>
    </row>
    <row r="623" spans="4:16">
      <c r="D623" s="596"/>
      <c r="G623" s="37"/>
      <c r="H623" s="37"/>
      <c r="I623" s="37"/>
      <c r="J623" s="37"/>
      <c r="K623" s="37"/>
      <c r="L623" s="37"/>
      <c r="M623" s="37"/>
      <c r="O623" s="39"/>
      <c r="P623" s="37"/>
    </row>
    <row r="624" spans="4:16">
      <c r="D624" s="596"/>
      <c r="G624" s="37"/>
      <c r="H624" s="37"/>
      <c r="I624" s="37"/>
      <c r="J624" s="37"/>
      <c r="K624" s="37"/>
      <c r="L624" s="37"/>
      <c r="M624" s="37"/>
      <c r="O624" s="39"/>
      <c r="P624" s="37"/>
    </row>
    <row r="625" spans="4:16">
      <c r="D625" s="596"/>
      <c r="G625" s="37"/>
      <c r="H625" s="37"/>
      <c r="I625" s="37"/>
      <c r="J625" s="37"/>
      <c r="K625" s="37"/>
      <c r="L625" s="37"/>
      <c r="M625" s="37"/>
      <c r="O625" s="39"/>
      <c r="P625" s="37"/>
    </row>
    <row r="626" spans="4:16">
      <c r="D626" s="596"/>
      <c r="G626" s="37"/>
      <c r="H626" s="37"/>
      <c r="I626" s="37"/>
      <c r="J626" s="37"/>
      <c r="K626" s="37"/>
      <c r="L626" s="37"/>
      <c r="M626" s="37"/>
      <c r="O626" s="39"/>
      <c r="P626" s="37"/>
    </row>
    <row r="627" spans="4:16">
      <c r="D627" s="596"/>
      <c r="G627" s="37"/>
      <c r="H627" s="37"/>
      <c r="I627" s="37"/>
      <c r="J627" s="37"/>
      <c r="K627" s="37"/>
      <c r="L627" s="37"/>
      <c r="M627" s="37"/>
      <c r="O627" s="39"/>
      <c r="P627" s="37"/>
    </row>
    <row r="628" spans="4:16">
      <c r="D628" s="596"/>
      <c r="G628" s="37"/>
      <c r="H628" s="37"/>
      <c r="I628" s="37"/>
      <c r="J628" s="37"/>
      <c r="K628" s="37"/>
      <c r="L628" s="37"/>
      <c r="M628" s="37"/>
      <c r="O628" s="39"/>
      <c r="P628" s="37"/>
    </row>
    <row r="629" spans="4:16">
      <c r="D629" s="596"/>
      <c r="G629" s="37"/>
      <c r="H629" s="37"/>
      <c r="I629" s="37"/>
      <c r="J629" s="37"/>
      <c r="K629" s="37"/>
      <c r="L629" s="37"/>
      <c r="M629" s="37"/>
      <c r="O629" s="39"/>
      <c r="P629" s="37"/>
    </row>
    <row r="630" spans="4:16">
      <c r="D630" s="596"/>
      <c r="G630" s="37"/>
      <c r="H630" s="37"/>
      <c r="I630" s="37"/>
      <c r="J630" s="37"/>
      <c r="K630" s="37"/>
      <c r="L630" s="37"/>
      <c r="M630" s="37"/>
      <c r="O630" s="39"/>
      <c r="P630" s="37"/>
    </row>
    <row r="631" spans="4:16">
      <c r="D631" s="596"/>
      <c r="G631" s="37"/>
      <c r="H631" s="37"/>
      <c r="I631" s="37"/>
      <c r="J631" s="37"/>
      <c r="K631" s="37"/>
      <c r="L631" s="37"/>
      <c r="M631" s="37"/>
      <c r="O631" s="39"/>
      <c r="P631" s="37"/>
    </row>
    <row r="632" spans="4:16">
      <c r="D632" s="596"/>
      <c r="G632" s="37"/>
      <c r="H632" s="37"/>
      <c r="I632" s="37"/>
      <c r="J632" s="37"/>
      <c r="K632" s="37"/>
      <c r="L632" s="37"/>
      <c r="M632" s="37"/>
      <c r="O632" s="39"/>
      <c r="P632" s="37"/>
    </row>
    <row r="633" spans="4:16">
      <c r="D633" s="596"/>
      <c r="G633" s="37"/>
      <c r="H633" s="37"/>
      <c r="I633" s="37"/>
      <c r="J633" s="37"/>
      <c r="K633" s="37"/>
      <c r="L633" s="37"/>
      <c r="M633" s="37"/>
      <c r="O633" s="39"/>
      <c r="P633" s="37"/>
    </row>
    <row r="634" spans="4:16">
      <c r="D634" s="596"/>
      <c r="G634" s="37"/>
      <c r="H634" s="37"/>
      <c r="I634" s="37"/>
      <c r="J634" s="37"/>
      <c r="K634" s="37"/>
      <c r="L634" s="37"/>
      <c r="M634" s="37"/>
      <c r="O634" s="39"/>
      <c r="P634" s="37"/>
    </row>
    <row r="635" spans="4:16">
      <c r="D635" s="596"/>
      <c r="G635" s="37"/>
      <c r="H635" s="37"/>
      <c r="I635" s="37"/>
      <c r="J635" s="37"/>
      <c r="K635" s="37"/>
      <c r="L635" s="37"/>
      <c r="M635" s="37"/>
      <c r="O635" s="39"/>
      <c r="P635" s="37"/>
    </row>
    <row r="636" spans="4:16">
      <c r="D636" s="596"/>
      <c r="G636" s="37"/>
      <c r="H636" s="37"/>
      <c r="I636" s="37"/>
      <c r="J636" s="37"/>
      <c r="K636" s="37"/>
      <c r="L636" s="37"/>
      <c r="M636" s="37"/>
      <c r="O636" s="39"/>
      <c r="P636" s="37"/>
    </row>
    <row r="637" spans="4:16">
      <c r="D637" s="596"/>
      <c r="G637" s="37"/>
      <c r="H637" s="37"/>
      <c r="I637" s="37"/>
      <c r="J637" s="37"/>
      <c r="K637" s="37"/>
      <c r="L637" s="37"/>
      <c r="M637" s="37"/>
      <c r="O637" s="39"/>
      <c r="P637" s="37"/>
    </row>
    <row r="638" spans="4:16">
      <c r="D638" s="596"/>
      <c r="G638" s="37"/>
      <c r="H638" s="37"/>
      <c r="I638" s="37"/>
      <c r="J638" s="37"/>
      <c r="K638" s="37"/>
      <c r="L638" s="37"/>
      <c r="M638" s="37"/>
      <c r="O638" s="39"/>
      <c r="P638" s="37"/>
    </row>
    <row r="639" spans="4:16">
      <c r="D639" s="596"/>
      <c r="G639" s="37"/>
      <c r="H639" s="37"/>
      <c r="I639" s="37"/>
      <c r="J639" s="37"/>
      <c r="K639" s="37"/>
      <c r="L639" s="37"/>
      <c r="M639" s="37"/>
      <c r="O639" s="39"/>
      <c r="P639" s="37"/>
    </row>
    <row r="640" spans="4:16">
      <c r="D640" s="596"/>
      <c r="G640" s="37"/>
      <c r="H640" s="37"/>
      <c r="I640" s="37"/>
      <c r="J640" s="37"/>
      <c r="K640" s="37"/>
      <c r="L640" s="37"/>
      <c r="M640" s="37"/>
      <c r="O640" s="39"/>
      <c r="P640" s="37"/>
    </row>
    <row r="641" spans="4:16">
      <c r="D641" s="596"/>
      <c r="G641" s="37"/>
      <c r="H641" s="37"/>
      <c r="I641" s="37"/>
      <c r="J641" s="37"/>
      <c r="K641" s="37"/>
      <c r="L641" s="37"/>
      <c r="M641" s="37"/>
      <c r="O641" s="39"/>
      <c r="P641" s="37"/>
    </row>
    <row r="642" spans="4:16">
      <c r="D642" s="596"/>
      <c r="G642" s="37"/>
      <c r="H642" s="37"/>
      <c r="I642" s="37"/>
      <c r="J642" s="37"/>
      <c r="K642" s="37"/>
      <c r="L642" s="37"/>
      <c r="M642" s="37"/>
      <c r="O642" s="39"/>
      <c r="P642" s="37"/>
    </row>
    <row r="643" spans="4:16">
      <c r="D643" s="596"/>
      <c r="G643" s="37"/>
      <c r="H643" s="37"/>
      <c r="I643" s="37"/>
      <c r="J643" s="37"/>
      <c r="K643" s="37"/>
      <c r="L643" s="37"/>
      <c r="M643" s="37"/>
      <c r="O643" s="39"/>
      <c r="P643" s="37"/>
    </row>
    <row r="644" spans="4:16">
      <c r="D644" s="596"/>
      <c r="G644" s="37"/>
      <c r="H644" s="37"/>
      <c r="I644" s="37"/>
      <c r="J644" s="37"/>
      <c r="K644" s="37"/>
      <c r="L644" s="37"/>
      <c r="M644" s="37"/>
      <c r="O644" s="39"/>
      <c r="P644" s="37"/>
    </row>
    <row r="645" spans="4:16">
      <c r="D645" s="596"/>
      <c r="G645" s="37"/>
      <c r="H645" s="37"/>
      <c r="I645" s="37"/>
      <c r="J645" s="37"/>
      <c r="K645" s="37"/>
      <c r="L645" s="37"/>
      <c r="M645" s="37"/>
      <c r="O645" s="39"/>
      <c r="P645" s="37"/>
    </row>
    <row r="646" spans="4:16">
      <c r="D646" s="596"/>
      <c r="G646" s="37"/>
      <c r="H646" s="37"/>
      <c r="I646" s="37"/>
      <c r="J646" s="37"/>
      <c r="K646" s="37"/>
      <c r="L646" s="37"/>
      <c r="M646" s="37"/>
      <c r="O646" s="39"/>
      <c r="P646" s="37"/>
    </row>
    <row r="647" spans="4:16">
      <c r="D647" s="596"/>
      <c r="G647" s="37"/>
      <c r="H647" s="37"/>
      <c r="I647" s="37"/>
      <c r="J647" s="37"/>
      <c r="K647" s="37"/>
      <c r="L647" s="37"/>
      <c r="M647" s="37"/>
      <c r="O647" s="39"/>
      <c r="P647" s="37"/>
    </row>
    <row r="648" spans="4:16">
      <c r="D648" s="596"/>
      <c r="G648" s="37"/>
      <c r="H648" s="37"/>
      <c r="I648" s="37"/>
      <c r="J648" s="37"/>
      <c r="K648" s="37"/>
      <c r="L648" s="37"/>
      <c r="M648" s="37"/>
      <c r="O648" s="39"/>
      <c r="P648" s="37"/>
    </row>
    <row r="649" spans="4:16">
      <c r="D649" s="596"/>
      <c r="G649" s="37"/>
      <c r="H649" s="37"/>
      <c r="I649" s="37"/>
      <c r="J649" s="37"/>
      <c r="K649" s="37"/>
      <c r="L649" s="37"/>
      <c r="M649" s="37"/>
      <c r="O649" s="39"/>
      <c r="P649" s="37"/>
    </row>
    <row r="650" spans="4:16">
      <c r="D650" s="596"/>
      <c r="G650" s="37"/>
      <c r="H650" s="37"/>
      <c r="I650" s="37"/>
      <c r="J650" s="37"/>
      <c r="K650" s="37"/>
      <c r="L650" s="37"/>
      <c r="M650" s="37"/>
      <c r="O650" s="39"/>
      <c r="P650" s="37"/>
    </row>
    <row r="651" spans="4:16">
      <c r="D651" s="596"/>
      <c r="G651" s="37"/>
      <c r="H651" s="37"/>
      <c r="I651" s="37"/>
      <c r="J651" s="37"/>
      <c r="K651" s="37"/>
      <c r="L651" s="37"/>
      <c r="M651" s="37"/>
      <c r="O651" s="39"/>
      <c r="P651" s="37"/>
    </row>
    <row r="652" spans="4:16">
      <c r="D652" s="596"/>
      <c r="G652" s="37"/>
      <c r="H652" s="37"/>
      <c r="I652" s="37"/>
      <c r="J652" s="37"/>
      <c r="K652" s="37"/>
      <c r="L652" s="37"/>
      <c r="M652" s="37"/>
      <c r="O652" s="39"/>
      <c r="P652" s="37"/>
    </row>
    <row r="653" spans="4:16">
      <c r="D653" s="596"/>
      <c r="G653" s="37"/>
      <c r="H653" s="37"/>
      <c r="I653" s="37"/>
      <c r="J653" s="37"/>
      <c r="K653" s="37"/>
      <c r="L653" s="37"/>
      <c r="M653" s="37"/>
      <c r="O653" s="39"/>
      <c r="P653" s="37"/>
    </row>
    <row r="654" spans="4:16">
      <c r="D654" s="596"/>
      <c r="G654" s="37"/>
      <c r="H654" s="37"/>
      <c r="I654" s="37"/>
      <c r="J654" s="37"/>
      <c r="K654" s="37"/>
      <c r="L654" s="37"/>
      <c r="M654" s="37"/>
      <c r="O654" s="39"/>
      <c r="P654" s="37"/>
    </row>
    <row r="655" spans="4:16">
      <c r="D655" s="596"/>
      <c r="G655" s="37"/>
      <c r="H655" s="37"/>
      <c r="I655" s="37"/>
      <c r="J655" s="37"/>
      <c r="K655" s="37"/>
      <c r="L655" s="37"/>
      <c r="M655" s="37"/>
      <c r="O655" s="39"/>
      <c r="P655" s="37"/>
    </row>
    <row r="656" spans="4:16">
      <c r="D656" s="596"/>
      <c r="G656" s="37"/>
      <c r="H656" s="37"/>
      <c r="I656" s="37"/>
      <c r="J656" s="37"/>
      <c r="K656" s="37"/>
      <c r="L656" s="37"/>
      <c r="M656" s="37"/>
      <c r="O656" s="39"/>
      <c r="P656" s="37"/>
    </row>
    <row r="657" spans="4:16">
      <c r="D657" s="596"/>
      <c r="G657" s="37"/>
      <c r="H657" s="37"/>
      <c r="I657" s="37"/>
      <c r="J657" s="37"/>
      <c r="K657" s="37"/>
      <c r="L657" s="37"/>
      <c r="M657" s="37"/>
      <c r="O657" s="39"/>
      <c r="P657" s="37"/>
    </row>
    <row r="658" spans="4:16">
      <c r="D658" s="596"/>
      <c r="G658" s="37"/>
      <c r="H658" s="37"/>
      <c r="I658" s="37"/>
      <c r="J658" s="37"/>
      <c r="K658" s="37"/>
      <c r="L658" s="37"/>
      <c r="M658" s="37"/>
      <c r="O658" s="39"/>
      <c r="P658" s="37"/>
    </row>
    <row r="659" spans="4:16">
      <c r="D659" s="596"/>
      <c r="G659" s="37"/>
      <c r="H659" s="37"/>
      <c r="I659" s="37"/>
      <c r="J659" s="37"/>
      <c r="K659" s="37"/>
      <c r="L659" s="37"/>
      <c r="M659" s="37"/>
      <c r="O659" s="39"/>
      <c r="P659" s="37"/>
    </row>
    <row r="660" spans="4:16">
      <c r="D660" s="596"/>
      <c r="G660" s="37"/>
      <c r="H660" s="37"/>
      <c r="I660" s="37"/>
      <c r="J660" s="37"/>
      <c r="K660" s="37"/>
      <c r="L660" s="37"/>
      <c r="M660" s="37"/>
      <c r="O660" s="39"/>
      <c r="P660" s="37"/>
    </row>
    <row r="661" spans="4:16">
      <c r="D661" s="596"/>
      <c r="G661" s="37"/>
      <c r="H661" s="37"/>
      <c r="I661" s="37"/>
      <c r="J661" s="37"/>
      <c r="K661" s="37"/>
      <c r="L661" s="37"/>
      <c r="M661" s="37"/>
      <c r="O661" s="39"/>
      <c r="P661" s="37"/>
    </row>
    <row r="662" spans="4:16">
      <c r="D662" s="596"/>
      <c r="G662" s="37"/>
      <c r="H662" s="37"/>
      <c r="I662" s="37"/>
      <c r="J662" s="37"/>
      <c r="K662" s="37"/>
      <c r="L662" s="37"/>
      <c r="M662" s="37"/>
      <c r="O662" s="39"/>
      <c r="P662" s="37"/>
    </row>
    <row r="663" spans="4:16">
      <c r="D663" s="596"/>
      <c r="G663" s="37"/>
      <c r="H663" s="37"/>
      <c r="I663" s="37"/>
      <c r="J663" s="37"/>
      <c r="K663" s="37"/>
      <c r="L663" s="37"/>
      <c r="M663" s="37"/>
      <c r="O663" s="39"/>
      <c r="P663" s="37"/>
    </row>
    <row r="664" spans="4:16">
      <c r="D664" s="596"/>
      <c r="G664" s="37"/>
      <c r="H664" s="37"/>
      <c r="I664" s="37"/>
      <c r="J664" s="37"/>
      <c r="K664" s="37"/>
      <c r="L664" s="37"/>
      <c r="M664" s="37"/>
      <c r="O664" s="39"/>
      <c r="P664" s="37"/>
    </row>
    <row r="665" spans="4:16">
      <c r="D665" s="596"/>
      <c r="G665" s="37"/>
      <c r="H665" s="37"/>
      <c r="I665" s="37"/>
      <c r="J665" s="37"/>
      <c r="K665" s="37"/>
      <c r="L665" s="37"/>
      <c r="M665" s="37"/>
      <c r="O665" s="39"/>
      <c r="P665" s="37"/>
    </row>
    <row r="666" spans="4:16">
      <c r="D666" s="596"/>
      <c r="G666" s="37"/>
      <c r="H666" s="37"/>
      <c r="I666" s="37"/>
      <c r="J666" s="37"/>
      <c r="K666" s="37"/>
      <c r="L666" s="37"/>
      <c r="M666" s="37"/>
      <c r="O666" s="39"/>
      <c r="P666" s="37"/>
    </row>
    <row r="667" spans="4:16">
      <c r="D667" s="596"/>
      <c r="G667" s="37"/>
      <c r="H667" s="37"/>
      <c r="I667" s="37"/>
      <c r="J667" s="37"/>
      <c r="K667" s="37"/>
      <c r="L667" s="37"/>
      <c r="M667" s="37"/>
      <c r="O667" s="39"/>
      <c r="P667" s="37"/>
    </row>
    <row r="668" spans="4:16">
      <c r="D668" s="596"/>
      <c r="G668" s="37"/>
      <c r="H668" s="37"/>
      <c r="I668" s="37"/>
      <c r="J668" s="37"/>
      <c r="K668" s="37"/>
      <c r="L668" s="37"/>
      <c r="M668" s="37"/>
      <c r="O668" s="39"/>
      <c r="P668" s="37"/>
    </row>
    <row r="669" spans="4:16">
      <c r="D669" s="596"/>
      <c r="G669" s="37"/>
      <c r="H669" s="37"/>
      <c r="I669" s="37"/>
      <c r="J669" s="37"/>
      <c r="K669" s="37"/>
      <c r="L669" s="37"/>
      <c r="M669" s="37"/>
      <c r="O669" s="39"/>
      <c r="P669" s="37"/>
    </row>
    <row r="670" spans="4:16">
      <c r="D670" s="596"/>
      <c r="G670" s="37"/>
      <c r="H670" s="37"/>
      <c r="I670" s="37"/>
      <c r="J670" s="37"/>
      <c r="K670" s="37"/>
      <c r="L670" s="37"/>
      <c r="M670" s="37"/>
      <c r="O670" s="39"/>
      <c r="P670" s="37"/>
    </row>
    <row r="671" spans="4:16">
      <c r="D671" s="596"/>
      <c r="G671" s="37"/>
      <c r="H671" s="37"/>
      <c r="I671" s="37"/>
      <c r="J671" s="37"/>
      <c r="K671" s="37"/>
      <c r="L671" s="37"/>
      <c r="M671" s="37"/>
      <c r="O671" s="39"/>
      <c r="P671" s="37"/>
    </row>
    <row r="672" spans="4:16">
      <c r="D672" s="596"/>
      <c r="G672" s="37"/>
      <c r="H672" s="37"/>
      <c r="I672" s="37"/>
      <c r="J672" s="37"/>
      <c r="K672" s="37"/>
      <c r="L672" s="37"/>
      <c r="M672" s="37"/>
      <c r="O672" s="39"/>
      <c r="P672" s="37"/>
    </row>
    <row r="673" spans="4:16">
      <c r="D673" s="596"/>
      <c r="G673" s="37"/>
      <c r="H673" s="37"/>
      <c r="I673" s="37"/>
      <c r="J673" s="37"/>
      <c r="K673" s="37"/>
      <c r="L673" s="37"/>
      <c r="M673" s="37"/>
      <c r="O673" s="39"/>
      <c r="P673" s="37"/>
    </row>
    <row r="674" spans="4:16">
      <c r="D674" s="596"/>
      <c r="G674" s="37"/>
      <c r="H674" s="37"/>
      <c r="I674" s="37"/>
      <c r="J674" s="37"/>
      <c r="K674" s="37"/>
      <c r="L674" s="37"/>
      <c r="M674" s="37"/>
      <c r="O674" s="39"/>
      <c r="P674" s="37"/>
    </row>
    <row r="675" spans="4:16">
      <c r="D675" s="596"/>
      <c r="G675" s="37"/>
      <c r="H675" s="37"/>
      <c r="I675" s="37"/>
      <c r="J675" s="37"/>
      <c r="K675" s="37"/>
      <c r="L675" s="37"/>
      <c r="M675" s="37"/>
      <c r="O675" s="39"/>
      <c r="P675" s="37"/>
    </row>
    <row r="676" spans="4:16">
      <c r="D676" s="596"/>
      <c r="G676" s="37"/>
      <c r="H676" s="37"/>
      <c r="I676" s="37"/>
      <c r="J676" s="37"/>
      <c r="K676" s="37"/>
      <c r="L676" s="37"/>
      <c r="M676" s="37"/>
      <c r="O676" s="39"/>
      <c r="P676" s="37"/>
    </row>
    <row r="677" spans="4:16">
      <c r="D677" s="596"/>
      <c r="G677" s="37"/>
      <c r="H677" s="37"/>
      <c r="I677" s="37"/>
      <c r="J677" s="37"/>
      <c r="K677" s="37"/>
      <c r="L677" s="37"/>
      <c r="M677" s="37"/>
      <c r="O677" s="39"/>
      <c r="P677" s="37"/>
    </row>
    <row r="678" spans="4:16">
      <c r="D678" s="596"/>
      <c r="G678" s="37"/>
      <c r="H678" s="37"/>
      <c r="I678" s="37"/>
      <c r="J678" s="37"/>
      <c r="K678" s="37"/>
      <c r="L678" s="37"/>
      <c r="M678" s="37"/>
      <c r="O678" s="39"/>
      <c r="P678" s="37"/>
    </row>
    <row r="679" spans="4:16">
      <c r="D679" s="596"/>
      <c r="G679" s="37"/>
      <c r="H679" s="37"/>
      <c r="I679" s="37"/>
      <c r="J679" s="37"/>
      <c r="K679" s="37"/>
      <c r="L679" s="37"/>
      <c r="M679" s="37"/>
      <c r="O679" s="39"/>
      <c r="P679" s="37"/>
    </row>
    <row r="680" spans="4:16">
      <c r="D680" s="596"/>
      <c r="G680" s="37"/>
      <c r="H680" s="37"/>
      <c r="I680" s="37"/>
      <c r="J680" s="37"/>
      <c r="K680" s="37"/>
      <c r="L680" s="37"/>
      <c r="M680" s="37"/>
      <c r="O680" s="39"/>
      <c r="P680" s="37"/>
    </row>
    <row r="681" spans="4:16">
      <c r="D681" s="596"/>
      <c r="G681" s="37"/>
      <c r="H681" s="37"/>
      <c r="I681" s="37"/>
      <c r="J681" s="37"/>
      <c r="K681" s="37"/>
      <c r="L681" s="37"/>
      <c r="M681" s="37"/>
      <c r="O681" s="39"/>
      <c r="P681" s="37"/>
    </row>
    <row r="682" spans="4:16">
      <c r="D682" s="596"/>
      <c r="G682" s="37"/>
      <c r="H682" s="37"/>
      <c r="I682" s="37"/>
      <c r="J682" s="37"/>
      <c r="K682" s="37"/>
      <c r="L682" s="37"/>
      <c r="M682" s="37"/>
      <c r="O682" s="39"/>
      <c r="P682" s="37"/>
    </row>
    <row r="683" spans="4:16">
      <c r="D683" s="596"/>
      <c r="G683" s="37"/>
      <c r="H683" s="37"/>
      <c r="I683" s="37"/>
      <c r="J683" s="37"/>
      <c r="K683" s="37"/>
      <c r="L683" s="37"/>
      <c r="M683" s="37"/>
      <c r="O683" s="39"/>
      <c r="P683" s="37"/>
    </row>
    <row r="684" spans="4:16">
      <c r="D684" s="596"/>
      <c r="G684" s="37"/>
      <c r="H684" s="37"/>
      <c r="I684" s="37"/>
      <c r="J684" s="37"/>
      <c r="K684" s="37"/>
      <c r="L684" s="37"/>
      <c r="M684" s="37"/>
      <c r="O684" s="39"/>
      <c r="P684" s="37"/>
    </row>
    <row r="685" spans="4:16">
      <c r="D685" s="596"/>
      <c r="G685" s="37"/>
      <c r="H685" s="37"/>
      <c r="I685" s="37"/>
      <c r="J685" s="37"/>
      <c r="K685" s="37"/>
      <c r="L685" s="37"/>
      <c r="M685" s="37"/>
      <c r="O685" s="39"/>
      <c r="P685" s="37"/>
    </row>
    <row r="686" spans="4:16">
      <c r="D686" s="596"/>
      <c r="G686" s="37"/>
      <c r="H686" s="37"/>
      <c r="I686" s="37"/>
      <c r="J686" s="37"/>
      <c r="K686" s="37"/>
      <c r="L686" s="37"/>
      <c r="M686" s="37"/>
      <c r="O686" s="39"/>
      <c r="P686" s="37"/>
    </row>
    <row r="687" spans="4:16">
      <c r="D687" s="596"/>
      <c r="G687" s="37"/>
      <c r="H687" s="37"/>
      <c r="I687" s="37"/>
      <c r="J687" s="37"/>
      <c r="K687" s="37"/>
      <c r="L687" s="37"/>
      <c r="M687" s="37"/>
      <c r="O687" s="39"/>
      <c r="P687" s="37"/>
    </row>
    <row r="688" spans="4:16">
      <c r="D688" s="596"/>
      <c r="G688" s="37"/>
      <c r="H688" s="37"/>
      <c r="I688" s="37"/>
      <c r="J688" s="37"/>
      <c r="K688" s="37"/>
      <c r="L688" s="37"/>
      <c r="M688" s="37"/>
      <c r="O688" s="39"/>
      <c r="P688" s="37"/>
    </row>
    <row r="689" spans="4:16">
      <c r="D689" s="596"/>
      <c r="G689" s="37"/>
      <c r="H689" s="37"/>
      <c r="I689" s="37"/>
      <c r="J689" s="37"/>
      <c r="K689" s="37"/>
      <c r="L689" s="37"/>
      <c r="M689" s="37"/>
      <c r="O689" s="39"/>
      <c r="P689" s="37"/>
    </row>
    <row r="690" spans="4:16">
      <c r="D690" s="596"/>
      <c r="G690" s="37"/>
      <c r="H690" s="37"/>
      <c r="I690" s="37"/>
      <c r="J690" s="37"/>
      <c r="K690" s="37"/>
      <c r="L690" s="37"/>
      <c r="M690" s="37"/>
      <c r="O690" s="39"/>
      <c r="P690" s="37"/>
    </row>
    <row r="691" spans="4:16">
      <c r="D691" s="596"/>
      <c r="G691" s="37"/>
      <c r="H691" s="37"/>
      <c r="I691" s="37"/>
      <c r="J691" s="37"/>
      <c r="K691" s="37"/>
      <c r="L691" s="37"/>
      <c r="M691" s="37"/>
      <c r="O691" s="39"/>
      <c r="P691" s="37"/>
    </row>
    <row r="692" spans="4:16">
      <c r="D692" s="596"/>
      <c r="G692" s="37"/>
      <c r="H692" s="37"/>
      <c r="I692" s="37"/>
      <c r="J692" s="37"/>
      <c r="K692" s="37"/>
      <c r="L692" s="37"/>
      <c r="M692" s="37"/>
      <c r="O692" s="39"/>
      <c r="P692" s="37"/>
    </row>
    <row r="693" spans="4:16">
      <c r="D693" s="596"/>
      <c r="G693" s="37"/>
      <c r="H693" s="37"/>
      <c r="I693" s="37"/>
      <c r="J693" s="37"/>
      <c r="K693" s="37"/>
      <c r="L693" s="37"/>
      <c r="M693" s="37"/>
      <c r="O693" s="39"/>
      <c r="P693" s="37"/>
    </row>
    <row r="694" spans="4:16">
      <c r="D694" s="596"/>
      <c r="G694" s="37"/>
      <c r="H694" s="37"/>
      <c r="I694" s="37"/>
      <c r="J694" s="37"/>
      <c r="K694" s="37"/>
      <c r="L694" s="37"/>
      <c r="M694" s="37"/>
      <c r="O694" s="39"/>
      <c r="P694" s="37"/>
    </row>
    <row r="695" spans="4:16">
      <c r="D695" s="596"/>
      <c r="G695" s="37"/>
      <c r="H695" s="37"/>
      <c r="I695" s="37"/>
      <c r="J695" s="37"/>
      <c r="K695" s="37"/>
      <c r="L695" s="37"/>
      <c r="M695" s="37"/>
      <c r="O695" s="39"/>
      <c r="P695" s="37"/>
    </row>
    <row r="696" spans="4:16">
      <c r="D696" s="596"/>
      <c r="G696" s="37"/>
      <c r="H696" s="37"/>
      <c r="I696" s="37"/>
      <c r="J696" s="37"/>
      <c r="K696" s="37"/>
      <c r="L696" s="37"/>
      <c r="M696" s="37"/>
      <c r="O696" s="39"/>
      <c r="P696" s="37"/>
    </row>
    <row r="697" spans="4:16">
      <c r="D697" s="596"/>
      <c r="G697" s="37"/>
      <c r="H697" s="37"/>
      <c r="I697" s="37"/>
      <c r="J697" s="37"/>
      <c r="K697" s="37"/>
      <c r="L697" s="37"/>
      <c r="M697" s="37"/>
      <c r="O697" s="39"/>
      <c r="P697" s="37"/>
    </row>
    <row r="698" spans="4:16">
      <c r="D698" s="596"/>
      <c r="G698" s="37"/>
      <c r="H698" s="37"/>
      <c r="I698" s="37"/>
      <c r="J698" s="37"/>
      <c r="K698" s="37"/>
      <c r="L698" s="37"/>
      <c r="M698" s="37"/>
      <c r="O698" s="39"/>
      <c r="P698" s="37"/>
    </row>
    <row r="699" spans="4:16">
      <c r="D699" s="596"/>
      <c r="G699" s="37"/>
      <c r="H699" s="37"/>
      <c r="I699" s="37"/>
      <c r="J699" s="37"/>
      <c r="K699" s="37"/>
      <c r="L699" s="37"/>
      <c r="M699" s="37"/>
      <c r="O699" s="39"/>
      <c r="P699" s="37"/>
    </row>
    <row r="700" spans="4:16">
      <c r="D700" s="596"/>
      <c r="G700" s="37"/>
      <c r="H700" s="37"/>
      <c r="I700" s="37"/>
      <c r="J700" s="37"/>
      <c r="K700" s="37"/>
      <c r="L700" s="37"/>
      <c r="M700" s="37"/>
      <c r="O700" s="39"/>
      <c r="P700" s="37"/>
    </row>
    <row r="701" spans="4:16">
      <c r="D701" s="596"/>
      <c r="G701" s="37"/>
      <c r="H701" s="37"/>
      <c r="I701" s="37"/>
      <c r="J701" s="37"/>
      <c r="K701" s="37"/>
      <c r="L701" s="37"/>
      <c r="M701" s="37"/>
      <c r="O701" s="39"/>
      <c r="P701" s="37"/>
    </row>
    <row r="702" spans="4:16">
      <c r="D702" s="596"/>
      <c r="G702" s="37"/>
      <c r="H702" s="37"/>
      <c r="I702" s="37"/>
      <c r="J702" s="37"/>
      <c r="K702" s="37"/>
      <c r="L702" s="37"/>
      <c r="M702" s="37"/>
      <c r="O702" s="39"/>
      <c r="P702" s="37"/>
    </row>
    <row r="703" spans="4:16">
      <c r="D703" s="596"/>
      <c r="G703" s="37"/>
      <c r="H703" s="37"/>
      <c r="I703" s="37"/>
      <c r="J703" s="37"/>
      <c r="K703" s="37"/>
      <c r="L703" s="37"/>
      <c r="M703" s="37"/>
      <c r="O703" s="39"/>
      <c r="P703" s="37"/>
    </row>
    <row r="704" spans="4:16">
      <c r="D704" s="596"/>
      <c r="G704" s="37"/>
      <c r="H704" s="37"/>
      <c r="I704" s="37"/>
      <c r="J704" s="37"/>
      <c r="K704" s="37"/>
      <c r="L704" s="37"/>
      <c r="M704" s="37"/>
      <c r="O704" s="39"/>
      <c r="P704" s="37"/>
    </row>
    <row r="705" spans="4:16">
      <c r="D705" s="596"/>
      <c r="G705" s="37"/>
      <c r="H705" s="37"/>
      <c r="I705" s="37"/>
      <c r="J705" s="37"/>
      <c r="K705" s="37"/>
      <c r="L705" s="37"/>
      <c r="M705" s="37"/>
      <c r="O705" s="39"/>
      <c r="P705" s="37"/>
    </row>
    <row r="706" spans="4:16">
      <c r="D706" s="596"/>
      <c r="G706" s="37"/>
      <c r="H706" s="37"/>
      <c r="I706" s="37"/>
      <c r="J706" s="37"/>
      <c r="K706" s="37"/>
      <c r="L706" s="37"/>
      <c r="M706" s="37"/>
      <c r="O706" s="39"/>
      <c r="P706" s="37"/>
    </row>
    <row r="707" spans="4:16">
      <c r="D707" s="596"/>
      <c r="G707" s="37"/>
      <c r="H707" s="37"/>
      <c r="I707" s="37"/>
      <c r="J707" s="37"/>
      <c r="K707" s="37"/>
      <c r="L707" s="37"/>
      <c r="M707" s="37"/>
      <c r="O707" s="39"/>
      <c r="P707" s="37"/>
    </row>
    <row r="708" spans="4:16">
      <c r="D708" s="596"/>
      <c r="G708" s="37"/>
      <c r="H708" s="37"/>
      <c r="I708" s="37"/>
      <c r="J708" s="37"/>
      <c r="K708" s="37"/>
      <c r="L708" s="37"/>
      <c r="M708" s="37"/>
      <c r="O708" s="39"/>
      <c r="P708" s="37"/>
    </row>
    <row r="709" spans="4:16">
      <c r="D709" s="596"/>
      <c r="G709" s="37"/>
      <c r="H709" s="37"/>
      <c r="I709" s="37"/>
      <c r="J709" s="37"/>
      <c r="K709" s="37"/>
      <c r="L709" s="37"/>
      <c r="M709" s="37"/>
      <c r="O709" s="39"/>
      <c r="P709" s="37"/>
    </row>
    <row r="710" spans="4:16">
      <c r="D710" s="596"/>
      <c r="G710" s="37"/>
      <c r="H710" s="37"/>
      <c r="I710" s="37"/>
      <c r="J710" s="37"/>
      <c r="K710" s="37"/>
      <c r="L710" s="37"/>
      <c r="M710" s="37"/>
      <c r="O710" s="39"/>
      <c r="P710" s="37"/>
    </row>
    <row r="711" spans="4:16">
      <c r="D711" s="596"/>
      <c r="G711" s="37"/>
      <c r="H711" s="37"/>
      <c r="I711" s="37"/>
      <c r="J711" s="37"/>
      <c r="K711" s="37"/>
      <c r="L711" s="37"/>
      <c r="M711" s="37"/>
      <c r="O711" s="39"/>
      <c r="P711" s="37"/>
    </row>
    <row r="712" spans="4:16">
      <c r="D712" s="596"/>
      <c r="G712" s="37"/>
      <c r="H712" s="37"/>
      <c r="I712" s="37"/>
      <c r="J712" s="37"/>
      <c r="K712" s="37"/>
      <c r="L712" s="37"/>
      <c r="M712" s="37"/>
      <c r="O712" s="39"/>
      <c r="P712" s="37"/>
    </row>
    <row r="713" spans="4:16">
      <c r="D713" s="596"/>
      <c r="G713" s="37"/>
      <c r="H713" s="37"/>
      <c r="I713" s="37"/>
      <c r="J713" s="37"/>
      <c r="K713" s="37"/>
      <c r="L713" s="37"/>
      <c r="M713" s="37"/>
      <c r="O713" s="39"/>
      <c r="P713" s="37"/>
    </row>
    <row r="714" spans="4:16">
      <c r="D714" s="596"/>
      <c r="G714" s="37"/>
      <c r="H714" s="37"/>
      <c r="I714" s="37"/>
      <c r="J714" s="37"/>
      <c r="K714" s="37"/>
      <c r="L714" s="37"/>
      <c r="M714" s="37"/>
      <c r="O714" s="39"/>
      <c r="P714" s="37"/>
    </row>
    <row r="715" spans="4:16">
      <c r="D715" s="596"/>
      <c r="G715" s="37"/>
      <c r="H715" s="37"/>
      <c r="I715" s="37"/>
      <c r="J715" s="37"/>
      <c r="K715" s="37"/>
      <c r="L715" s="37"/>
      <c r="M715" s="37"/>
      <c r="O715" s="39"/>
      <c r="P715" s="37"/>
    </row>
    <row r="716" spans="4:16">
      <c r="D716" s="596"/>
      <c r="G716" s="37"/>
      <c r="H716" s="37"/>
      <c r="I716" s="37"/>
      <c r="J716" s="37"/>
      <c r="K716" s="37"/>
      <c r="L716" s="37"/>
      <c r="M716" s="37"/>
      <c r="O716" s="39"/>
      <c r="P716" s="37"/>
    </row>
    <row r="717" spans="4:16">
      <c r="D717" s="596"/>
      <c r="G717" s="37"/>
      <c r="H717" s="37"/>
      <c r="I717" s="37"/>
      <c r="J717" s="37"/>
      <c r="K717" s="37"/>
      <c r="L717" s="37"/>
      <c r="M717" s="37"/>
      <c r="O717" s="39"/>
      <c r="P717" s="37"/>
    </row>
    <row r="718" spans="4:16">
      <c r="D718" s="596"/>
      <c r="G718" s="37"/>
      <c r="H718" s="37"/>
      <c r="I718" s="37"/>
      <c r="J718" s="37"/>
      <c r="K718" s="37"/>
      <c r="L718" s="37"/>
      <c r="M718" s="37"/>
      <c r="O718" s="39"/>
      <c r="P718" s="37"/>
    </row>
    <row r="719" spans="4:16">
      <c r="D719" s="596"/>
      <c r="G719" s="37"/>
      <c r="H719" s="37"/>
      <c r="I719" s="37"/>
      <c r="J719" s="37"/>
      <c r="K719" s="37"/>
      <c r="L719" s="37"/>
      <c r="M719" s="37"/>
      <c r="O719" s="39"/>
      <c r="P719" s="37"/>
    </row>
    <row r="720" spans="4:16">
      <c r="D720" s="596"/>
      <c r="G720" s="37"/>
      <c r="H720" s="37"/>
      <c r="I720" s="37"/>
      <c r="J720" s="37"/>
      <c r="K720" s="37"/>
      <c r="L720" s="37"/>
      <c r="M720" s="37"/>
      <c r="O720" s="39"/>
      <c r="P720" s="37"/>
    </row>
    <row r="721" spans="4:16">
      <c r="D721" s="596"/>
      <c r="G721" s="37"/>
      <c r="H721" s="37"/>
      <c r="I721" s="37"/>
      <c r="J721" s="37"/>
      <c r="K721" s="37"/>
      <c r="L721" s="37"/>
      <c r="M721" s="37"/>
      <c r="O721" s="39"/>
      <c r="P721" s="37"/>
    </row>
    <row r="722" spans="4:16">
      <c r="D722" s="596"/>
      <c r="G722" s="37"/>
      <c r="H722" s="37"/>
      <c r="I722" s="37"/>
      <c r="J722" s="37"/>
      <c r="K722" s="37"/>
      <c r="L722" s="37"/>
      <c r="M722" s="37"/>
      <c r="O722" s="39"/>
      <c r="P722" s="37"/>
    </row>
    <row r="723" spans="4:16">
      <c r="D723" s="596"/>
      <c r="G723" s="37"/>
      <c r="H723" s="37"/>
      <c r="I723" s="37"/>
      <c r="J723" s="37"/>
      <c r="K723" s="37"/>
      <c r="L723" s="37"/>
      <c r="M723" s="37"/>
      <c r="O723" s="39"/>
      <c r="P723" s="37"/>
    </row>
    <row r="724" spans="4:16">
      <c r="D724" s="596"/>
      <c r="G724" s="37"/>
      <c r="H724" s="37"/>
      <c r="I724" s="37"/>
      <c r="J724" s="37"/>
      <c r="K724" s="37"/>
      <c r="L724" s="37"/>
      <c r="M724" s="37"/>
      <c r="O724" s="39"/>
      <c r="P724" s="37"/>
    </row>
    <row r="725" spans="4:16">
      <c r="D725" s="596"/>
      <c r="G725" s="37"/>
      <c r="H725" s="37"/>
      <c r="I725" s="37"/>
      <c r="J725" s="37"/>
      <c r="K725" s="37"/>
      <c r="L725" s="37"/>
      <c r="M725" s="37"/>
      <c r="O725" s="39"/>
      <c r="P725" s="37"/>
    </row>
    <row r="726" spans="4:16">
      <c r="D726" s="596"/>
      <c r="G726" s="37"/>
      <c r="H726" s="37"/>
      <c r="I726" s="37"/>
      <c r="J726" s="37"/>
      <c r="K726" s="37"/>
      <c r="L726" s="37"/>
      <c r="M726" s="37"/>
      <c r="O726" s="39"/>
      <c r="P726" s="37"/>
    </row>
    <row r="727" spans="4:16">
      <c r="D727" s="596"/>
      <c r="G727" s="37"/>
      <c r="H727" s="37"/>
      <c r="I727" s="37"/>
      <c r="J727" s="37"/>
      <c r="K727" s="37"/>
      <c r="L727" s="37"/>
      <c r="M727" s="37"/>
      <c r="O727" s="39"/>
      <c r="P727" s="37"/>
    </row>
    <row r="728" spans="4:16">
      <c r="D728" s="596"/>
      <c r="G728" s="37"/>
      <c r="H728" s="37"/>
      <c r="I728" s="37"/>
      <c r="J728" s="37"/>
      <c r="K728" s="37"/>
      <c r="L728" s="37"/>
      <c r="M728" s="37"/>
      <c r="O728" s="39"/>
      <c r="P728" s="37"/>
    </row>
    <row r="729" spans="4:16">
      <c r="D729" s="596"/>
      <c r="G729" s="37"/>
      <c r="H729" s="37"/>
      <c r="I729" s="37"/>
      <c r="J729" s="37"/>
      <c r="K729" s="37"/>
      <c r="L729" s="37"/>
      <c r="M729" s="37"/>
      <c r="O729" s="39"/>
      <c r="P729" s="37"/>
    </row>
    <row r="730" spans="4:16">
      <c r="D730" s="596"/>
      <c r="G730" s="37"/>
      <c r="H730" s="37"/>
      <c r="I730" s="37"/>
      <c r="J730" s="37"/>
      <c r="K730" s="37"/>
      <c r="L730" s="37"/>
      <c r="M730" s="37"/>
      <c r="O730" s="39"/>
      <c r="P730" s="37"/>
    </row>
    <row r="731" spans="4:16">
      <c r="D731" s="596"/>
      <c r="G731" s="37"/>
      <c r="H731" s="37"/>
      <c r="I731" s="37"/>
      <c r="J731" s="37"/>
      <c r="K731" s="37"/>
      <c r="L731" s="37"/>
      <c r="M731" s="37"/>
      <c r="O731" s="39"/>
      <c r="P731" s="37"/>
    </row>
    <row r="732" spans="4:16">
      <c r="D732" s="596"/>
      <c r="G732" s="37"/>
      <c r="H732" s="37"/>
      <c r="I732" s="37"/>
      <c r="J732" s="37"/>
      <c r="K732" s="37"/>
      <c r="L732" s="37"/>
      <c r="M732" s="37"/>
      <c r="O732" s="39"/>
      <c r="P732" s="37"/>
    </row>
    <row r="733" spans="4:16">
      <c r="D733" s="596"/>
      <c r="G733" s="37"/>
      <c r="H733" s="37"/>
      <c r="I733" s="37"/>
      <c r="J733" s="37"/>
      <c r="K733" s="37"/>
      <c r="L733" s="37"/>
      <c r="M733" s="37"/>
      <c r="O733" s="39"/>
      <c r="P733" s="37"/>
    </row>
    <row r="734" spans="4:16">
      <c r="D734" s="596"/>
      <c r="G734" s="37"/>
      <c r="H734" s="37"/>
      <c r="I734" s="37"/>
      <c r="J734" s="37"/>
      <c r="K734" s="37"/>
      <c r="L734" s="37"/>
      <c r="M734" s="37"/>
      <c r="O734" s="39"/>
      <c r="P734" s="37"/>
    </row>
    <row r="735" spans="4:16">
      <c r="D735" s="596"/>
      <c r="G735" s="37"/>
      <c r="H735" s="37"/>
      <c r="I735" s="37"/>
      <c r="J735" s="37"/>
      <c r="K735" s="37"/>
      <c r="L735" s="37"/>
      <c r="M735" s="37"/>
      <c r="O735" s="39"/>
      <c r="P735" s="37"/>
    </row>
    <row r="736" spans="4:16">
      <c r="D736" s="596"/>
      <c r="G736" s="37"/>
      <c r="H736" s="37"/>
      <c r="I736" s="37"/>
      <c r="J736" s="37"/>
      <c r="K736" s="37"/>
      <c r="L736" s="37"/>
      <c r="M736" s="37"/>
      <c r="O736" s="39"/>
      <c r="P736" s="37"/>
    </row>
    <row r="737" spans="4:16">
      <c r="D737" s="596"/>
      <c r="G737" s="37"/>
      <c r="H737" s="37"/>
      <c r="I737" s="37"/>
      <c r="J737" s="37"/>
      <c r="K737" s="37"/>
      <c r="L737" s="37"/>
      <c r="M737" s="37"/>
      <c r="O737" s="39"/>
      <c r="P737" s="37"/>
    </row>
    <row r="738" spans="4:16">
      <c r="D738" s="596"/>
      <c r="G738" s="37"/>
      <c r="H738" s="37"/>
      <c r="I738" s="37"/>
      <c r="J738" s="37"/>
      <c r="K738" s="37"/>
      <c r="L738" s="37"/>
      <c r="M738" s="37"/>
      <c r="O738" s="39"/>
      <c r="P738" s="37"/>
    </row>
    <row r="739" spans="4:16">
      <c r="D739" s="596"/>
      <c r="G739" s="37"/>
      <c r="H739" s="37"/>
      <c r="I739" s="37"/>
      <c r="J739" s="37"/>
      <c r="K739" s="37"/>
      <c r="L739" s="37"/>
      <c r="M739" s="37"/>
      <c r="O739" s="39"/>
      <c r="P739" s="37"/>
    </row>
    <row r="740" spans="4:16">
      <c r="D740" s="596"/>
      <c r="G740" s="37"/>
      <c r="H740" s="37"/>
      <c r="I740" s="37"/>
      <c r="J740" s="37"/>
      <c r="K740" s="37"/>
      <c r="L740" s="37"/>
      <c r="M740" s="37"/>
      <c r="O740" s="39"/>
      <c r="P740" s="37"/>
    </row>
    <row r="741" spans="4:16">
      <c r="D741" s="596"/>
      <c r="G741" s="37"/>
      <c r="H741" s="37"/>
      <c r="I741" s="37"/>
      <c r="J741" s="37"/>
      <c r="K741" s="37"/>
      <c r="L741" s="37"/>
      <c r="M741" s="37"/>
      <c r="O741" s="39"/>
      <c r="P741" s="37"/>
    </row>
    <row r="742" spans="4:16">
      <c r="D742" s="596"/>
      <c r="G742" s="37"/>
      <c r="H742" s="37"/>
      <c r="I742" s="37"/>
      <c r="J742" s="37"/>
      <c r="K742" s="37"/>
      <c r="L742" s="37"/>
      <c r="M742" s="37"/>
      <c r="O742" s="39"/>
      <c r="P742" s="37"/>
    </row>
    <row r="743" spans="4:16">
      <c r="D743" s="596"/>
      <c r="G743" s="37"/>
      <c r="H743" s="37"/>
      <c r="I743" s="37"/>
      <c r="J743" s="37"/>
      <c r="K743" s="37"/>
      <c r="L743" s="37"/>
      <c r="M743" s="37"/>
      <c r="O743" s="39"/>
      <c r="P743" s="37"/>
    </row>
    <row r="744" spans="4:16">
      <c r="D744" s="596"/>
      <c r="G744" s="37"/>
      <c r="H744" s="37"/>
      <c r="I744" s="37"/>
      <c r="J744" s="37"/>
      <c r="K744" s="37"/>
      <c r="L744" s="37"/>
      <c r="M744" s="37"/>
      <c r="O744" s="39"/>
      <c r="P744" s="37"/>
    </row>
    <row r="745" spans="4:16">
      <c r="D745" s="596"/>
      <c r="G745" s="37"/>
      <c r="H745" s="37"/>
      <c r="I745" s="37"/>
      <c r="J745" s="37"/>
      <c r="K745" s="37"/>
      <c r="L745" s="37"/>
      <c r="M745" s="37"/>
      <c r="O745" s="39"/>
      <c r="P745" s="37"/>
    </row>
    <row r="746" spans="4:16">
      <c r="D746" s="596"/>
      <c r="G746" s="37"/>
      <c r="H746" s="37"/>
      <c r="I746" s="37"/>
      <c r="J746" s="37"/>
      <c r="K746" s="37"/>
      <c r="L746" s="37"/>
      <c r="M746" s="37"/>
      <c r="O746" s="39"/>
      <c r="P746" s="37"/>
    </row>
    <row r="747" spans="4:16">
      <c r="D747" s="596"/>
      <c r="G747" s="37"/>
      <c r="H747" s="37"/>
      <c r="I747" s="37"/>
      <c r="J747" s="37"/>
      <c r="K747" s="37"/>
      <c r="L747" s="37"/>
      <c r="M747" s="37"/>
      <c r="O747" s="39"/>
      <c r="P747" s="37"/>
    </row>
    <row r="748" spans="4:16">
      <c r="D748" s="596"/>
      <c r="G748" s="37"/>
      <c r="H748" s="37"/>
      <c r="I748" s="37"/>
      <c r="J748" s="37"/>
      <c r="K748" s="37"/>
      <c r="L748" s="37"/>
      <c r="M748" s="37"/>
      <c r="O748" s="39"/>
      <c r="P748" s="37"/>
    </row>
    <row r="749" spans="4:16">
      <c r="D749" s="596"/>
      <c r="G749" s="37"/>
      <c r="H749" s="37"/>
      <c r="I749" s="37"/>
      <c r="J749" s="37"/>
      <c r="K749" s="37"/>
      <c r="L749" s="37"/>
      <c r="M749" s="37"/>
      <c r="O749" s="39"/>
      <c r="P749" s="37"/>
    </row>
    <row r="750" spans="4:16">
      <c r="D750" s="596"/>
      <c r="G750" s="37"/>
      <c r="H750" s="37"/>
      <c r="I750" s="37"/>
      <c r="J750" s="37"/>
      <c r="K750" s="37"/>
      <c r="L750" s="37"/>
      <c r="M750" s="37"/>
      <c r="O750" s="39"/>
      <c r="P750" s="37"/>
    </row>
    <row r="751" spans="4:16">
      <c r="D751" s="596"/>
      <c r="G751" s="37"/>
      <c r="H751" s="37"/>
      <c r="I751" s="37"/>
      <c r="J751" s="37"/>
      <c r="K751" s="37"/>
      <c r="L751" s="37"/>
      <c r="M751" s="37"/>
      <c r="O751" s="39"/>
      <c r="P751" s="37"/>
    </row>
    <row r="752" spans="4:16">
      <c r="D752" s="596"/>
      <c r="G752" s="37"/>
      <c r="H752" s="37"/>
      <c r="I752" s="37"/>
      <c r="J752" s="37"/>
      <c r="K752" s="37"/>
      <c r="L752" s="37"/>
      <c r="M752" s="37"/>
      <c r="O752" s="39"/>
      <c r="P752" s="37"/>
    </row>
    <row r="753" spans="4:16">
      <c r="D753" s="596"/>
      <c r="G753" s="37"/>
      <c r="H753" s="37"/>
      <c r="I753" s="37"/>
      <c r="J753" s="37"/>
      <c r="K753" s="37"/>
      <c r="L753" s="37"/>
      <c r="M753" s="37"/>
      <c r="O753" s="39"/>
      <c r="P753" s="37"/>
    </row>
    <row r="754" spans="4:16">
      <c r="D754" s="596"/>
      <c r="G754" s="37"/>
      <c r="H754" s="37"/>
      <c r="I754" s="37"/>
      <c r="J754" s="37"/>
      <c r="K754" s="37"/>
      <c r="L754" s="37"/>
      <c r="M754" s="37"/>
      <c r="O754" s="39"/>
      <c r="P754" s="37"/>
    </row>
    <row r="755" spans="4:16">
      <c r="D755" s="596"/>
      <c r="G755" s="37"/>
      <c r="H755" s="37"/>
      <c r="I755" s="37"/>
      <c r="J755" s="37"/>
      <c r="K755" s="37"/>
      <c r="L755" s="37"/>
      <c r="M755" s="37"/>
      <c r="O755" s="39"/>
      <c r="P755" s="37"/>
    </row>
    <row r="756" spans="4:16">
      <c r="D756" s="596"/>
      <c r="G756" s="37"/>
      <c r="H756" s="37"/>
      <c r="I756" s="37"/>
      <c r="J756" s="37"/>
      <c r="K756" s="37"/>
      <c r="L756" s="37"/>
      <c r="M756" s="37"/>
      <c r="O756" s="39"/>
      <c r="P756" s="37"/>
    </row>
    <row r="757" spans="4:16">
      <c r="D757" s="596"/>
      <c r="G757" s="37"/>
      <c r="H757" s="37"/>
      <c r="I757" s="37"/>
      <c r="J757" s="37"/>
      <c r="K757" s="37"/>
      <c r="L757" s="37"/>
      <c r="M757" s="37"/>
      <c r="O757" s="39"/>
      <c r="P757" s="37"/>
    </row>
    <row r="758" spans="4:16">
      <c r="D758" s="596"/>
      <c r="G758" s="37"/>
      <c r="H758" s="37"/>
      <c r="I758" s="37"/>
      <c r="J758" s="37"/>
      <c r="K758" s="37"/>
      <c r="L758" s="37"/>
      <c r="M758" s="37"/>
      <c r="O758" s="39"/>
      <c r="P758" s="37"/>
    </row>
    <row r="759" spans="4:16">
      <c r="D759" s="596"/>
      <c r="G759" s="37"/>
      <c r="H759" s="37"/>
      <c r="I759" s="37"/>
      <c r="J759" s="37"/>
      <c r="K759" s="37"/>
      <c r="L759" s="37"/>
      <c r="M759" s="37"/>
      <c r="O759" s="39"/>
      <c r="P759" s="37"/>
    </row>
    <row r="760" spans="4:16">
      <c r="D760" s="596"/>
      <c r="G760" s="37"/>
      <c r="H760" s="37"/>
      <c r="I760" s="37"/>
      <c r="J760" s="37"/>
      <c r="K760" s="37"/>
      <c r="L760" s="37"/>
      <c r="M760" s="37"/>
      <c r="O760" s="39"/>
      <c r="P760" s="37"/>
    </row>
    <row r="761" spans="4:16">
      <c r="D761" s="596"/>
      <c r="G761" s="37"/>
      <c r="H761" s="37"/>
      <c r="I761" s="37"/>
      <c r="J761" s="37"/>
      <c r="K761" s="37"/>
      <c r="L761" s="37"/>
      <c r="M761" s="37"/>
      <c r="O761" s="39"/>
      <c r="P761" s="37"/>
    </row>
    <row r="762" spans="4:16">
      <c r="D762" s="596"/>
      <c r="G762" s="37"/>
      <c r="H762" s="37"/>
      <c r="I762" s="37"/>
      <c r="J762" s="37"/>
      <c r="K762" s="37"/>
      <c r="L762" s="37"/>
      <c r="M762" s="37"/>
      <c r="O762" s="39"/>
      <c r="P762" s="37"/>
    </row>
    <row r="763" spans="4:16">
      <c r="D763" s="596"/>
      <c r="G763" s="37"/>
      <c r="H763" s="37"/>
      <c r="I763" s="37"/>
      <c r="J763" s="37"/>
      <c r="K763" s="37"/>
      <c r="L763" s="37"/>
      <c r="M763" s="37"/>
      <c r="O763" s="39"/>
      <c r="P763" s="37"/>
    </row>
    <row r="764" spans="4:16">
      <c r="D764" s="596"/>
      <c r="G764" s="37"/>
      <c r="H764" s="37"/>
      <c r="I764" s="37"/>
      <c r="J764" s="37"/>
      <c r="K764" s="37"/>
      <c r="L764" s="37"/>
      <c r="M764" s="37"/>
      <c r="O764" s="39"/>
      <c r="P764" s="37"/>
    </row>
    <row r="765" spans="4:16">
      <c r="D765" s="596"/>
      <c r="G765" s="37"/>
      <c r="H765" s="37"/>
      <c r="I765" s="37"/>
      <c r="J765" s="37"/>
      <c r="K765" s="37"/>
      <c r="L765" s="37"/>
      <c r="M765" s="37"/>
      <c r="O765" s="39"/>
      <c r="P765" s="37"/>
    </row>
    <row r="766" spans="4:16">
      <c r="D766" s="596"/>
      <c r="G766" s="37"/>
      <c r="H766" s="37"/>
      <c r="I766" s="37"/>
      <c r="J766" s="37"/>
      <c r="K766" s="37"/>
      <c r="L766" s="37"/>
      <c r="M766" s="37"/>
      <c r="O766" s="39"/>
      <c r="P766" s="37"/>
    </row>
    <row r="767" spans="4:16">
      <c r="D767" s="596"/>
      <c r="G767" s="37"/>
      <c r="H767" s="37"/>
      <c r="I767" s="37"/>
      <c r="J767" s="37"/>
      <c r="K767" s="37"/>
      <c r="L767" s="37"/>
      <c r="M767" s="37"/>
      <c r="O767" s="39"/>
      <c r="P767" s="37"/>
    </row>
    <row r="768" spans="4:16">
      <c r="D768" s="596"/>
      <c r="G768" s="37"/>
      <c r="H768" s="37"/>
      <c r="I768" s="37"/>
      <c r="J768" s="37"/>
      <c r="K768" s="37"/>
      <c r="L768" s="37"/>
      <c r="M768" s="37"/>
      <c r="O768" s="39"/>
      <c r="P768" s="37"/>
    </row>
    <row r="769" spans="4:16">
      <c r="D769" s="596"/>
      <c r="G769" s="37"/>
      <c r="H769" s="37"/>
      <c r="I769" s="37"/>
      <c r="J769" s="37"/>
      <c r="K769" s="37"/>
      <c r="L769" s="37"/>
      <c r="M769" s="37"/>
      <c r="O769" s="39"/>
      <c r="P769" s="37"/>
    </row>
    <row r="770" spans="4:16">
      <c r="D770" s="596"/>
      <c r="G770" s="37"/>
      <c r="H770" s="37"/>
      <c r="I770" s="37"/>
      <c r="J770" s="37"/>
      <c r="K770" s="37"/>
      <c r="L770" s="37"/>
      <c r="M770" s="37"/>
      <c r="O770" s="39"/>
      <c r="P770" s="37"/>
    </row>
    <row r="771" spans="4:16">
      <c r="D771" s="596"/>
      <c r="G771" s="37"/>
      <c r="H771" s="37"/>
      <c r="I771" s="37"/>
      <c r="J771" s="37"/>
      <c r="K771" s="37"/>
      <c r="L771" s="37"/>
      <c r="M771" s="37"/>
      <c r="O771" s="39"/>
      <c r="P771" s="37"/>
    </row>
    <row r="772" spans="4:16">
      <c r="D772" s="596"/>
      <c r="G772" s="37"/>
      <c r="H772" s="37"/>
      <c r="I772" s="37"/>
      <c r="J772" s="37"/>
      <c r="K772" s="37"/>
      <c r="L772" s="37"/>
      <c r="M772" s="37"/>
      <c r="O772" s="39"/>
      <c r="P772" s="37"/>
    </row>
    <row r="773" spans="4:16">
      <c r="D773" s="596"/>
      <c r="G773" s="37"/>
      <c r="H773" s="37"/>
      <c r="I773" s="37"/>
      <c r="J773" s="37"/>
      <c r="K773" s="37"/>
      <c r="L773" s="37"/>
      <c r="M773" s="37"/>
      <c r="O773" s="39"/>
      <c r="P773" s="37"/>
    </row>
    <row r="774" spans="4:16">
      <c r="D774" s="596"/>
      <c r="G774" s="37"/>
      <c r="H774" s="37"/>
      <c r="I774" s="37"/>
      <c r="J774" s="37"/>
      <c r="K774" s="37"/>
      <c r="L774" s="37"/>
      <c r="M774" s="37"/>
      <c r="O774" s="39"/>
      <c r="P774" s="37"/>
    </row>
    <row r="775" spans="4:16">
      <c r="D775" s="596"/>
      <c r="G775" s="37"/>
      <c r="H775" s="37"/>
      <c r="I775" s="37"/>
      <c r="J775" s="37"/>
      <c r="K775" s="37"/>
      <c r="L775" s="37"/>
      <c r="M775" s="37"/>
      <c r="O775" s="39"/>
      <c r="P775" s="37"/>
    </row>
    <row r="776" spans="4:16">
      <c r="D776" s="596"/>
      <c r="G776" s="37"/>
      <c r="H776" s="37"/>
      <c r="I776" s="37"/>
      <c r="J776" s="37"/>
      <c r="K776" s="37"/>
      <c r="L776" s="37"/>
      <c r="M776" s="37"/>
      <c r="O776" s="39"/>
      <c r="P776" s="37"/>
    </row>
    <row r="777" spans="4:16">
      <c r="D777" s="596"/>
      <c r="G777" s="37"/>
      <c r="H777" s="37"/>
      <c r="I777" s="37"/>
      <c r="J777" s="37"/>
      <c r="K777" s="37"/>
      <c r="L777" s="37"/>
      <c r="M777" s="37"/>
      <c r="O777" s="39"/>
      <c r="P777" s="37"/>
    </row>
    <row r="778" spans="4:16">
      <c r="D778" s="596"/>
      <c r="G778" s="37"/>
      <c r="H778" s="37"/>
      <c r="I778" s="37"/>
      <c r="J778" s="37"/>
      <c r="K778" s="37"/>
      <c r="L778" s="37"/>
      <c r="M778" s="37"/>
      <c r="O778" s="39"/>
      <c r="P778" s="37"/>
    </row>
    <row r="779" spans="4:16">
      <c r="D779" s="596"/>
      <c r="G779" s="37"/>
      <c r="H779" s="37"/>
      <c r="I779" s="37"/>
      <c r="J779" s="37"/>
      <c r="K779" s="37"/>
      <c r="L779" s="37"/>
      <c r="M779" s="37"/>
      <c r="O779" s="39"/>
      <c r="P779" s="37"/>
    </row>
    <row r="780" spans="4:16">
      <c r="D780" s="596"/>
      <c r="G780" s="37"/>
      <c r="H780" s="37"/>
      <c r="I780" s="37"/>
      <c r="J780" s="37"/>
      <c r="K780" s="37"/>
      <c r="L780" s="37"/>
      <c r="M780" s="37"/>
      <c r="O780" s="39"/>
      <c r="P780" s="37"/>
    </row>
    <row r="781" spans="4:16">
      <c r="D781" s="596"/>
      <c r="G781" s="37"/>
      <c r="H781" s="37"/>
      <c r="I781" s="37"/>
      <c r="J781" s="37"/>
      <c r="K781" s="37"/>
      <c r="L781" s="37"/>
      <c r="M781" s="37"/>
      <c r="O781" s="39"/>
      <c r="P781" s="37"/>
    </row>
    <row r="782" spans="4:16">
      <c r="D782" s="596"/>
      <c r="G782" s="37"/>
      <c r="H782" s="37"/>
      <c r="I782" s="37"/>
      <c r="J782" s="37"/>
      <c r="K782" s="37"/>
      <c r="L782" s="37"/>
      <c r="M782" s="37"/>
      <c r="O782" s="39"/>
      <c r="P782" s="37"/>
    </row>
    <row r="783" spans="4:16">
      <c r="D783" s="596"/>
      <c r="G783" s="37"/>
      <c r="H783" s="37"/>
      <c r="I783" s="37"/>
      <c r="J783" s="37"/>
      <c r="K783" s="37"/>
      <c r="L783" s="37"/>
      <c r="M783" s="37"/>
      <c r="O783" s="39"/>
      <c r="P783" s="37"/>
    </row>
    <row r="784" spans="4:16">
      <c r="D784" s="596"/>
      <c r="G784" s="37"/>
      <c r="H784" s="37"/>
      <c r="I784" s="37"/>
      <c r="J784" s="37"/>
      <c r="K784" s="37"/>
      <c r="L784" s="37"/>
      <c r="M784" s="37"/>
      <c r="O784" s="39"/>
      <c r="P784" s="37"/>
    </row>
    <row r="785" spans="4:16">
      <c r="D785" s="596"/>
      <c r="G785" s="37"/>
      <c r="H785" s="37"/>
      <c r="I785" s="37"/>
      <c r="J785" s="37"/>
      <c r="K785" s="37"/>
      <c r="L785" s="37"/>
      <c r="M785" s="37"/>
      <c r="O785" s="39"/>
      <c r="P785" s="37"/>
    </row>
    <row r="786" spans="4:16">
      <c r="D786" s="596"/>
      <c r="G786" s="37"/>
      <c r="H786" s="37"/>
      <c r="I786" s="37"/>
      <c r="J786" s="37"/>
      <c r="K786" s="37"/>
      <c r="L786" s="37"/>
      <c r="M786" s="37"/>
      <c r="O786" s="39"/>
      <c r="P786" s="37"/>
    </row>
    <row r="787" spans="4:16">
      <c r="D787" s="596"/>
      <c r="G787" s="37"/>
      <c r="H787" s="37"/>
      <c r="I787" s="37"/>
      <c r="J787" s="37"/>
      <c r="K787" s="37"/>
      <c r="L787" s="37"/>
      <c r="M787" s="37"/>
      <c r="O787" s="39"/>
      <c r="P787" s="37"/>
    </row>
    <row r="788" spans="4:16">
      <c r="D788" s="596"/>
      <c r="G788" s="37"/>
      <c r="H788" s="37"/>
      <c r="I788" s="37"/>
      <c r="J788" s="37"/>
      <c r="K788" s="37"/>
      <c r="L788" s="37"/>
      <c r="M788" s="37"/>
      <c r="O788" s="39"/>
      <c r="P788" s="37"/>
    </row>
    <row r="789" spans="4:16">
      <c r="D789" s="596"/>
      <c r="G789" s="37"/>
      <c r="H789" s="37"/>
      <c r="I789" s="37"/>
      <c r="J789" s="37"/>
      <c r="K789" s="37"/>
      <c r="L789" s="37"/>
      <c r="M789" s="37"/>
      <c r="O789" s="39"/>
      <c r="P789" s="37"/>
    </row>
    <row r="790" spans="4:16">
      <c r="D790" s="596"/>
      <c r="G790" s="37"/>
      <c r="H790" s="37"/>
      <c r="I790" s="37"/>
      <c r="J790" s="37"/>
      <c r="K790" s="37"/>
      <c r="L790" s="37"/>
      <c r="M790" s="37"/>
      <c r="O790" s="39"/>
      <c r="P790" s="37"/>
    </row>
    <row r="791" spans="4:16">
      <c r="D791" s="596"/>
      <c r="G791" s="37"/>
      <c r="H791" s="37"/>
      <c r="I791" s="37"/>
      <c r="J791" s="37"/>
      <c r="K791" s="37"/>
      <c r="L791" s="37"/>
      <c r="M791" s="37"/>
      <c r="O791" s="39"/>
      <c r="P791" s="37"/>
    </row>
    <row r="792" spans="4:16">
      <c r="D792" s="596"/>
      <c r="G792" s="37"/>
      <c r="H792" s="37"/>
      <c r="I792" s="37"/>
      <c r="J792" s="37"/>
      <c r="K792" s="37"/>
      <c r="L792" s="37"/>
      <c r="M792" s="37"/>
      <c r="O792" s="39"/>
      <c r="P792" s="37"/>
    </row>
    <row r="793" spans="4:16">
      <c r="D793" s="596"/>
      <c r="G793" s="37"/>
      <c r="H793" s="37"/>
      <c r="I793" s="37"/>
      <c r="J793" s="37"/>
      <c r="K793" s="37"/>
      <c r="L793" s="37"/>
      <c r="M793" s="37"/>
      <c r="O793" s="39"/>
      <c r="P793" s="37"/>
    </row>
    <row r="794" spans="4:16">
      <c r="D794" s="596"/>
      <c r="G794" s="37"/>
      <c r="H794" s="37"/>
      <c r="I794" s="37"/>
      <c r="J794" s="37"/>
      <c r="K794" s="37"/>
      <c r="L794" s="37"/>
      <c r="M794" s="37"/>
      <c r="O794" s="39"/>
      <c r="P794" s="37"/>
    </row>
    <row r="795" spans="4:16">
      <c r="D795" s="596"/>
      <c r="G795" s="37"/>
      <c r="H795" s="37"/>
      <c r="I795" s="37"/>
      <c r="J795" s="37"/>
      <c r="K795" s="37"/>
      <c r="L795" s="37"/>
      <c r="M795" s="37"/>
      <c r="O795" s="39"/>
      <c r="P795" s="37"/>
    </row>
    <row r="796" spans="4:16">
      <c r="D796" s="596"/>
      <c r="G796" s="37"/>
      <c r="H796" s="37"/>
      <c r="I796" s="37"/>
      <c r="J796" s="37"/>
      <c r="K796" s="37"/>
      <c r="L796" s="37"/>
      <c r="M796" s="37"/>
      <c r="O796" s="39"/>
      <c r="P796" s="37"/>
    </row>
    <row r="797" spans="4:16">
      <c r="D797" s="596"/>
      <c r="G797" s="37"/>
      <c r="H797" s="37"/>
      <c r="I797" s="37"/>
      <c r="J797" s="37"/>
      <c r="K797" s="37"/>
      <c r="L797" s="37"/>
      <c r="M797" s="37"/>
      <c r="O797" s="39"/>
      <c r="P797" s="37"/>
    </row>
    <row r="798" spans="4:16">
      <c r="D798" s="596"/>
      <c r="G798" s="37"/>
      <c r="H798" s="37"/>
      <c r="I798" s="37"/>
      <c r="J798" s="37"/>
      <c r="K798" s="37"/>
      <c r="L798" s="37"/>
      <c r="M798" s="37"/>
      <c r="O798" s="39"/>
      <c r="P798" s="37"/>
    </row>
    <row r="799" spans="4:16">
      <c r="D799" s="596"/>
      <c r="G799" s="37"/>
      <c r="H799" s="37"/>
      <c r="I799" s="37"/>
      <c r="J799" s="37"/>
      <c r="K799" s="37"/>
      <c r="L799" s="37"/>
      <c r="M799" s="37"/>
      <c r="O799" s="39"/>
      <c r="P799" s="37"/>
    </row>
    <row r="800" spans="4:16">
      <c r="D800" s="596"/>
      <c r="G800" s="37"/>
      <c r="H800" s="37"/>
      <c r="I800" s="37"/>
      <c r="J800" s="37"/>
      <c r="K800" s="37"/>
      <c r="L800" s="37"/>
      <c r="M800" s="37"/>
      <c r="O800" s="39"/>
      <c r="P800" s="37"/>
    </row>
    <row r="801" spans="4:16">
      <c r="D801" s="596"/>
      <c r="G801" s="37"/>
      <c r="H801" s="37"/>
      <c r="I801" s="37"/>
      <c r="J801" s="37"/>
      <c r="K801" s="37"/>
      <c r="L801" s="37"/>
      <c r="M801" s="37"/>
      <c r="O801" s="39"/>
      <c r="P801" s="37"/>
    </row>
    <row r="802" spans="4:16">
      <c r="D802" s="596"/>
      <c r="G802" s="37"/>
      <c r="H802" s="37"/>
      <c r="I802" s="37"/>
      <c r="J802" s="37"/>
      <c r="K802" s="37"/>
      <c r="L802" s="37"/>
      <c r="M802" s="37"/>
      <c r="O802" s="39"/>
      <c r="P802" s="37"/>
    </row>
    <row r="803" spans="4:16">
      <c r="D803" s="596"/>
      <c r="G803" s="37"/>
      <c r="H803" s="37"/>
      <c r="I803" s="37"/>
      <c r="J803" s="37"/>
      <c r="K803" s="37"/>
      <c r="L803" s="37"/>
      <c r="M803" s="37"/>
      <c r="O803" s="39"/>
      <c r="P803" s="37"/>
    </row>
    <row r="804" spans="4:16">
      <c r="D804" s="596"/>
      <c r="G804" s="37"/>
      <c r="H804" s="37"/>
      <c r="I804" s="37"/>
      <c r="J804" s="37"/>
      <c r="K804" s="37"/>
      <c r="L804" s="37"/>
      <c r="M804" s="37"/>
      <c r="O804" s="39"/>
      <c r="P804" s="37"/>
    </row>
    <row r="805" spans="4:16">
      <c r="D805" s="596"/>
      <c r="G805" s="37"/>
      <c r="H805" s="37"/>
      <c r="I805" s="37"/>
      <c r="J805" s="37"/>
      <c r="K805" s="37"/>
      <c r="L805" s="37"/>
      <c r="M805" s="37"/>
      <c r="O805" s="39"/>
      <c r="P805" s="37"/>
    </row>
    <row r="806" spans="4:16">
      <c r="D806" s="596"/>
      <c r="G806" s="37"/>
      <c r="H806" s="37"/>
      <c r="I806" s="37"/>
      <c r="J806" s="37"/>
      <c r="K806" s="37"/>
      <c r="L806" s="37"/>
      <c r="M806" s="37"/>
      <c r="O806" s="39"/>
      <c r="P806" s="37"/>
    </row>
    <row r="807" spans="4:16">
      <c r="D807" s="596"/>
      <c r="G807" s="37"/>
      <c r="H807" s="37"/>
      <c r="I807" s="37"/>
      <c r="J807" s="37"/>
      <c r="K807" s="37"/>
      <c r="L807" s="37"/>
      <c r="M807" s="37"/>
      <c r="O807" s="39"/>
      <c r="P807" s="37"/>
    </row>
    <row r="808" spans="4:16">
      <c r="D808" s="596"/>
      <c r="G808" s="37"/>
      <c r="H808" s="37"/>
      <c r="I808" s="37"/>
      <c r="J808" s="37"/>
      <c r="K808" s="37"/>
      <c r="L808" s="37"/>
      <c r="M808" s="37"/>
      <c r="O808" s="39"/>
      <c r="P808" s="37"/>
    </row>
    <row r="809" spans="4:16">
      <c r="D809" s="596"/>
      <c r="G809" s="37"/>
      <c r="H809" s="37"/>
      <c r="I809" s="37"/>
      <c r="J809" s="37"/>
      <c r="K809" s="37"/>
      <c r="L809" s="37"/>
      <c r="M809" s="37"/>
      <c r="O809" s="39"/>
      <c r="P809" s="37"/>
    </row>
    <row r="810" spans="4:16">
      <c r="D810" s="596"/>
      <c r="G810" s="37"/>
      <c r="H810" s="37"/>
      <c r="I810" s="37"/>
      <c r="J810" s="37"/>
      <c r="K810" s="37"/>
      <c r="L810" s="37"/>
      <c r="M810" s="37"/>
      <c r="O810" s="39"/>
      <c r="P810" s="37"/>
    </row>
    <row r="811" spans="4:16">
      <c r="D811" s="596"/>
      <c r="G811" s="37"/>
      <c r="H811" s="37"/>
      <c r="I811" s="37"/>
      <c r="J811" s="37"/>
      <c r="K811" s="37"/>
      <c r="L811" s="37"/>
      <c r="M811" s="37"/>
      <c r="O811" s="39"/>
      <c r="P811" s="37"/>
    </row>
    <row r="812" spans="4:16">
      <c r="D812" s="596"/>
      <c r="G812" s="37"/>
      <c r="H812" s="37"/>
      <c r="I812" s="37"/>
      <c r="J812" s="37"/>
      <c r="K812" s="37"/>
      <c r="L812" s="37"/>
      <c r="M812" s="37"/>
      <c r="O812" s="39"/>
      <c r="P812" s="37"/>
    </row>
    <row r="813" spans="4:16">
      <c r="D813" s="596"/>
      <c r="G813" s="37"/>
      <c r="H813" s="37"/>
      <c r="I813" s="37"/>
      <c r="J813" s="37"/>
      <c r="K813" s="37"/>
      <c r="L813" s="37"/>
      <c r="M813" s="37"/>
      <c r="O813" s="39"/>
      <c r="P813" s="37"/>
    </row>
    <row r="814" spans="4:16">
      <c r="D814" s="596"/>
      <c r="G814" s="37"/>
      <c r="H814" s="37"/>
      <c r="I814" s="37"/>
      <c r="J814" s="37"/>
      <c r="K814" s="37"/>
      <c r="L814" s="37"/>
      <c r="M814" s="37"/>
      <c r="O814" s="39"/>
      <c r="P814" s="37"/>
    </row>
    <row r="815" spans="4:16">
      <c r="D815" s="596"/>
      <c r="G815" s="37"/>
      <c r="H815" s="37"/>
      <c r="I815" s="37"/>
      <c r="J815" s="37"/>
      <c r="K815" s="37"/>
      <c r="L815" s="37"/>
      <c r="M815" s="37"/>
      <c r="O815" s="39"/>
      <c r="P815" s="37"/>
    </row>
    <row r="816" spans="4:16">
      <c r="D816" s="596"/>
      <c r="G816" s="37"/>
      <c r="H816" s="37"/>
      <c r="I816" s="37"/>
      <c r="J816" s="37"/>
      <c r="K816" s="37"/>
      <c r="L816" s="37"/>
      <c r="M816" s="37"/>
      <c r="O816" s="39"/>
      <c r="P816" s="37"/>
    </row>
    <row r="817" spans="4:16">
      <c r="D817" s="596"/>
      <c r="G817" s="37"/>
      <c r="H817" s="37"/>
      <c r="I817" s="37"/>
      <c r="J817" s="37"/>
      <c r="K817" s="37"/>
      <c r="L817" s="37"/>
      <c r="M817" s="37"/>
      <c r="O817" s="39"/>
      <c r="P817" s="37"/>
    </row>
    <row r="818" spans="4:16">
      <c r="D818" s="596"/>
      <c r="G818" s="37"/>
      <c r="H818" s="37"/>
      <c r="I818" s="37"/>
      <c r="J818" s="37"/>
      <c r="K818" s="37"/>
      <c r="L818" s="37"/>
      <c r="M818" s="37"/>
      <c r="O818" s="39"/>
      <c r="P818" s="37"/>
    </row>
    <row r="819" spans="4:16">
      <c r="D819" s="596"/>
      <c r="G819" s="37"/>
      <c r="H819" s="37"/>
      <c r="I819" s="37"/>
      <c r="J819" s="37"/>
      <c r="K819" s="37"/>
      <c r="L819" s="37"/>
      <c r="M819" s="37"/>
      <c r="O819" s="39"/>
      <c r="P819" s="37"/>
    </row>
    <row r="820" spans="4:16">
      <c r="D820" s="596"/>
      <c r="G820" s="37"/>
      <c r="H820" s="37"/>
      <c r="I820" s="37"/>
      <c r="J820" s="37"/>
      <c r="K820" s="37"/>
      <c r="L820" s="37"/>
      <c r="M820" s="37"/>
      <c r="O820" s="39"/>
      <c r="P820" s="37"/>
    </row>
    <row r="821" spans="4:16">
      <c r="D821" s="596"/>
      <c r="G821" s="37"/>
      <c r="H821" s="37"/>
      <c r="I821" s="37"/>
      <c r="J821" s="37"/>
      <c r="K821" s="37"/>
      <c r="L821" s="37"/>
      <c r="M821" s="37"/>
      <c r="O821" s="39"/>
      <c r="P821" s="37"/>
    </row>
    <row r="822" spans="4:16">
      <c r="D822" s="596"/>
      <c r="G822" s="37"/>
      <c r="H822" s="37"/>
      <c r="I822" s="37"/>
      <c r="J822" s="37"/>
      <c r="K822" s="37"/>
      <c r="L822" s="37"/>
      <c r="M822" s="37"/>
      <c r="O822" s="39"/>
      <c r="P822" s="37"/>
    </row>
    <row r="823" spans="4:16">
      <c r="D823" s="596"/>
      <c r="G823" s="37"/>
      <c r="H823" s="37"/>
      <c r="I823" s="37"/>
      <c r="J823" s="37"/>
      <c r="K823" s="37"/>
      <c r="L823" s="37"/>
      <c r="M823" s="37"/>
      <c r="O823" s="39"/>
      <c r="P823" s="37"/>
    </row>
    <row r="824" spans="4:16">
      <c r="D824" s="596"/>
      <c r="G824" s="37"/>
      <c r="H824" s="37"/>
      <c r="I824" s="37"/>
      <c r="J824" s="37"/>
      <c r="K824" s="37"/>
      <c r="L824" s="37"/>
      <c r="M824" s="37"/>
      <c r="O824" s="39"/>
      <c r="P824" s="37"/>
    </row>
    <row r="825" spans="4:16">
      <c r="D825" s="596"/>
      <c r="G825" s="37"/>
      <c r="H825" s="37"/>
      <c r="I825" s="37"/>
      <c r="J825" s="37"/>
      <c r="K825" s="37"/>
      <c r="L825" s="37"/>
      <c r="M825" s="37"/>
      <c r="O825" s="39"/>
      <c r="P825" s="37"/>
    </row>
    <row r="826" spans="4:16">
      <c r="D826" s="596"/>
      <c r="G826" s="37"/>
      <c r="H826" s="37"/>
      <c r="I826" s="37"/>
      <c r="J826" s="37"/>
      <c r="K826" s="37"/>
      <c r="L826" s="37"/>
      <c r="M826" s="37"/>
      <c r="O826" s="39"/>
      <c r="P826" s="37"/>
    </row>
    <row r="827" spans="4:16">
      <c r="D827" s="596"/>
      <c r="G827" s="37"/>
      <c r="H827" s="37"/>
      <c r="I827" s="37"/>
      <c r="J827" s="37"/>
      <c r="K827" s="37"/>
      <c r="L827" s="37"/>
      <c r="M827" s="37"/>
      <c r="O827" s="39"/>
      <c r="P827" s="37"/>
    </row>
    <row r="828" spans="4:16">
      <c r="D828" s="596"/>
      <c r="G828" s="37"/>
      <c r="H828" s="37"/>
      <c r="I828" s="37"/>
      <c r="J828" s="37"/>
      <c r="K828" s="37"/>
      <c r="L828" s="37"/>
      <c r="M828" s="37"/>
      <c r="O828" s="39"/>
      <c r="P828" s="37"/>
    </row>
    <row r="829" spans="4:16">
      <c r="D829" s="596"/>
      <c r="G829" s="37"/>
      <c r="H829" s="37"/>
      <c r="I829" s="37"/>
      <c r="J829" s="37"/>
      <c r="K829" s="37"/>
      <c r="L829" s="37"/>
      <c r="M829" s="37"/>
      <c r="O829" s="39"/>
      <c r="P829" s="37"/>
    </row>
    <row r="830" spans="4:16">
      <c r="D830" s="596"/>
      <c r="G830" s="37"/>
      <c r="H830" s="37"/>
      <c r="I830" s="37"/>
      <c r="J830" s="37"/>
      <c r="K830" s="37"/>
      <c r="L830" s="37"/>
      <c r="M830" s="37"/>
      <c r="O830" s="39"/>
      <c r="P830" s="37"/>
    </row>
    <row r="831" spans="4:16">
      <c r="D831" s="596"/>
      <c r="G831" s="37"/>
      <c r="H831" s="37"/>
      <c r="I831" s="37"/>
      <c r="J831" s="37"/>
      <c r="K831" s="37"/>
      <c r="L831" s="37"/>
      <c r="M831" s="37"/>
      <c r="O831" s="39"/>
      <c r="P831" s="37"/>
    </row>
    <row r="832" spans="4:16">
      <c r="D832" s="596"/>
      <c r="G832" s="37"/>
      <c r="H832" s="37"/>
      <c r="I832" s="37"/>
      <c r="J832" s="37"/>
      <c r="K832" s="37"/>
      <c r="L832" s="37"/>
      <c r="M832" s="37"/>
      <c r="O832" s="39"/>
      <c r="P832" s="37"/>
    </row>
    <row r="833" spans="4:16">
      <c r="D833" s="596"/>
      <c r="G833" s="37"/>
      <c r="H833" s="37"/>
      <c r="I833" s="37"/>
      <c r="J833" s="37"/>
      <c r="K833" s="37"/>
      <c r="L833" s="37"/>
      <c r="M833" s="37"/>
      <c r="O833" s="39"/>
      <c r="P833" s="37"/>
    </row>
    <row r="834" spans="4:16">
      <c r="D834" s="596"/>
      <c r="G834" s="37"/>
      <c r="H834" s="37"/>
      <c r="I834" s="37"/>
      <c r="J834" s="37"/>
      <c r="K834" s="37"/>
      <c r="L834" s="37"/>
      <c r="M834" s="37"/>
      <c r="O834" s="39"/>
      <c r="P834" s="37"/>
    </row>
    <row r="835" spans="4:16">
      <c r="D835" s="596"/>
      <c r="G835" s="37"/>
      <c r="H835" s="37"/>
      <c r="I835" s="37"/>
      <c r="J835" s="37"/>
      <c r="K835" s="37"/>
      <c r="L835" s="37"/>
      <c r="M835" s="37"/>
      <c r="O835" s="39"/>
      <c r="P835" s="37"/>
    </row>
    <row r="836" spans="4:16">
      <c r="D836" s="596"/>
      <c r="G836" s="37"/>
      <c r="H836" s="37"/>
      <c r="I836" s="37"/>
      <c r="J836" s="37"/>
      <c r="K836" s="37"/>
      <c r="L836" s="37"/>
      <c r="M836" s="37"/>
      <c r="O836" s="39"/>
      <c r="P836" s="37"/>
    </row>
    <row r="837" spans="4:16">
      <c r="D837" s="596"/>
      <c r="G837" s="37"/>
      <c r="H837" s="37"/>
      <c r="I837" s="37"/>
      <c r="J837" s="37"/>
      <c r="K837" s="37"/>
      <c r="L837" s="37"/>
      <c r="M837" s="37"/>
      <c r="O837" s="39"/>
      <c r="P837" s="37"/>
    </row>
    <row r="838" spans="4:16">
      <c r="D838" s="596"/>
      <c r="G838" s="37"/>
      <c r="H838" s="37"/>
      <c r="I838" s="37"/>
      <c r="J838" s="37"/>
      <c r="K838" s="37"/>
      <c r="L838" s="37"/>
      <c r="M838" s="37"/>
      <c r="O838" s="39"/>
      <c r="P838" s="37"/>
    </row>
    <row r="839" spans="4:16">
      <c r="D839" s="596"/>
      <c r="G839" s="37"/>
      <c r="H839" s="37"/>
      <c r="I839" s="37"/>
      <c r="J839" s="37"/>
      <c r="K839" s="37"/>
      <c r="L839" s="37"/>
      <c r="M839" s="37"/>
      <c r="O839" s="39"/>
      <c r="P839" s="37"/>
    </row>
    <row r="840" spans="4:16">
      <c r="D840" s="596"/>
      <c r="G840" s="37"/>
      <c r="H840" s="37"/>
      <c r="I840" s="37"/>
      <c r="J840" s="37"/>
      <c r="K840" s="37"/>
      <c r="L840" s="37"/>
      <c r="M840" s="37"/>
      <c r="O840" s="39"/>
      <c r="P840" s="37"/>
    </row>
    <row r="841" spans="4:16">
      <c r="D841" s="596"/>
      <c r="G841" s="37"/>
      <c r="H841" s="37"/>
      <c r="I841" s="37"/>
      <c r="J841" s="37"/>
      <c r="K841" s="37"/>
      <c r="L841" s="37"/>
      <c r="M841" s="37"/>
      <c r="O841" s="39"/>
      <c r="P841" s="37"/>
    </row>
    <row r="842" spans="4:16">
      <c r="D842" s="596"/>
      <c r="G842" s="37"/>
      <c r="H842" s="37"/>
      <c r="I842" s="37"/>
      <c r="J842" s="37"/>
      <c r="K842" s="37"/>
      <c r="L842" s="37"/>
      <c r="M842" s="37"/>
      <c r="O842" s="39"/>
      <c r="P842" s="37"/>
    </row>
    <row r="843" spans="4:16">
      <c r="D843" s="596"/>
      <c r="G843" s="37"/>
      <c r="H843" s="37"/>
      <c r="I843" s="37"/>
      <c r="J843" s="37"/>
      <c r="K843" s="37"/>
      <c r="L843" s="37"/>
      <c r="M843" s="37"/>
      <c r="O843" s="39"/>
      <c r="P843" s="37"/>
    </row>
    <row r="844" spans="4:16">
      <c r="D844" s="596"/>
      <c r="G844" s="37"/>
      <c r="H844" s="37"/>
      <c r="I844" s="37"/>
      <c r="J844" s="37"/>
      <c r="K844" s="37"/>
      <c r="L844" s="37"/>
      <c r="M844" s="37"/>
      <c r="O844" s="39"/>
      <c r="P844" s="37"/>
    </row>
    <row r="845" spans="4:16">
      <c r="D845" s="596"/>
      <c r="G845" s="37"/>
      <c r="H845" s="37"/>
      <c r="I845" s="37"/>
      <c r="J845" s="37"/>
      <c r="K845" s="37"/>
      <c r="L845" s="37"/>
      <c r="M845" s="37"/>
      <c r="O845" s="39"/>
      <c r="P845" s="37"/>
    </row>
    <row r="846" spans="4:16">
      <c r="D846" s="596"/>
      <c r="G846" s="37"/>
      <c r="H846" s="37"/>
      <c r="I846" s="37"/>
      <c r="J846" s="37"/>
      <c r="K846" s="37"/>
      <c r="L846" s="37"/>
      <c r="M846" s="37"/>
      <c r="O846" s="39"/>
      <c r="P846" s="37"/>
    </row>
    <row r="847" spans="4:16">
      <c r="D847" s="596"/>
      <c r="G847" s="37"/>
      <c r="H847" s="37"/>
      <c r="I847" s="37"/>
      <c r="J847" s="37"/>
      <c r="K847" s="37"/>
      <c r="L847" s="37"/>
      <c r="M847" s="37"/>
      <c r="O847" s="39"/>
      <c r="P847" s="37"/>
    </row>
    <row r="848" spans="4:16">
      <c r="D848" s="596"/>
      <c r="G848" s="37"/>
      <c r="H848" s="37"/>
      <c r="I848" s="37"/>
      <c r="J848" s="37"/>
      <c r="K848" s="37"/>
      <c r="L848" s="37"/>
      <c r="M848" s="37"/>
      <c r="O848" s="39"/>
      <c r="P848" s="37"/>
    </row>
    <row r="849" spans="4:16">
      <c r="D849" s="596"/>
      <c r="G849" s="37"/>
      <c r="H849" s="37"/>
      <c r="I849" s="37"/>
      <c r="J849" s="37"/>
      <c r="K849" s="37"/>
      <c r="L849" s="37"/>
      <c r="M849" s="37"/>
      <c r="O849" s="39"/>
      <c r="P849" s="37"/>
    </row>
    <row r="850" spans="4:16">
      <c r="D850" s="596"/>
      <c r="G850" s="37"/>
      <c r="H850" s="37"/>
      <c r="I850" s="37"/>
      <c r="J850" s="37"/>
      <c r="K850" s="37"/>
      <c r="L850" s="37"/>
      <c r="M850" s="37"/>
      <c r="O850" s="39"/>
      <c r="P850" s="37"/>
    </row>
    <row r="851" spans="4:16">
      <c r="D851" s="596"/>
      <c r="G851" s="37"/>
      <c r="H851" s="37"/>
      <c r="I851" s="37"/>
      <c r="J851" s="37"/>
      <c r="K851" s="37"/>
      <c r="L851" s="37"/>
      <c r="M851" s="37"/>
      <c r="O851" s="39"/>
      <c r="P851" s="37"/>
    </row>
    <row r="852" spans="4:16">
      <c r="D852" s="596"/>
      <c r="G852" s="37"/>
      <c r="H852" s="37"/>
      <c r="I852" s="37"/>
      <c r="J852" s="37"/>
      <c r="K852" s="37"/>
      <c r="L852" s="37"/>
      <c r="M852" s="37"/>
      <c r="O852" s="39"/>
      <c r="P852" s="37"/>
    </row>
    <row r="853" spans="4:16">
      <c r="D853" s="596"/>
      <c r="G853" s="37"/>
      <c r="H853" s="37"/>
      <c r="I853" s="37"/>
      <c r="J853" s="37"/>
      <c r="K853" s="37"/>
      <c r="L853" s="37"/>
      <c r="M853" s="37"/>
      <c r="O853" s="39"/>
      <c r="P853" s="37"/>
    </row>
    <row r="854" spans="4:16">
      <c r="D854" s="596"/>
      <c r="G854" s="37"/>
      <c r="H854" s="37"/>
      <c r="I854" s="37"/>
      <c r="J854" s="37"/>
      <c r="K854" s="37"/>
      <c r="L854" s="37"/>
      <c r="M854" s="37"/>
      <c r="O854" s="39"/>
      <c r="P854" s="37"/>
    </row>
    <row r="855" spans="4:16">
      <c r="D855" s="596"/>
      <c r="G855" s="37"/>
      <c r="H855" s="37"/>
      <c r="I855" s="37"/>
      <c r="J855" s="37"/>
      <c r="K855" s="37"/>
      <c r="L855" s="37"/>
      <c r="M855" s="37"/>
      <c r="O855" s="39"/>
      <c r="P855" s="37"/>
    </row>
    <row r="856" spans="4:16">
      <c r="D856" s="596"/>
      <c r="G856" s="37"/>
      <c r="H856" s="37"/>
      <c r="I856" s="37"/>
      <c r="J856" s="37"/>
      <c r="K856" s="37"/>
      <c r="L856" s="37"/>
      <c r="M856" s="37"/>
      <c r="O856" s="39"/>
      <c r="P856" s="37"/>
    </row>
    <row r="857" spans="4:16">
      <c r="D857" s="596"/>
      <c r="G857" s="37"/>
      <c r="H857" s="37"/>
      <c r="I857" s="37"/>
      <c r="J857" s="37"/>
      <c r="K857" s="37"/>
      <c r="L857" s="37"/>
      <c r="M857" s="37"/>
      <c r="O857" s="39"/>
      <c r="P857" s="37"/>
    </row>
    <row r="858" spans="4:16">
      <c r="D858" s="596"/>
      <c r="G858" s="37"/>
      <c r="H858" s="37"/>
      <c r="I858" s="37"/>
      <c r="J858" s="37"/>
      <c r="K858" s="37"/>
      <c r="L858" s="37"/>
      <c r="M858" s="37"/>
      <c r="O858" s="39"/>
      <c r="P858" s="37"/>
    </row>
    <row r="859" spans="4:16">
      <c r="D859" s="596"/>
      <c r="G859" s="37"/>
      <c r="H859" s="37"/>
      <c r="I859" s="37"/>
      <c r="J859" s="37"/>
      <c r="K859" s="37"/>
      <c r="L859" s="37"/>
      <c r="M859" s="37"/>
      <c r="O859" s="39"/>
      <c r="P859" s="37"/>
    </row>
    <row r="860" spans="4:16">
      <c r="D860" s="596"/>
      <c r="G860" s="37"/>
      <c r="H860" s="37"/>
      <c r="I860" s="37"/>
      <c r="J860" s="37"/>
      <c r="K860" s="37"/>
      <c r="L860" s="37"/>
      <c r="M860" s="37"/>
      <c r="O860" s="39"/>
      <c r="P860" s="37"/>
    </row>
    <row r="861" spans="4:16">
      <c r="D861" s="596"/>
      <c r="G861" s="37"/>
      <c r="H861" s="37"/>
      <c r="I861" s="37"/>
      <c r="J861" s="37"/>
      <c r="K861" s="37"/>
      <c r="L861" s="37"/>
      <c r="M861" s="37"/>
      <c r="O861" s="39"/>
      <c r="P861" s="37"/>
    </row>
    <row r="862" spans="4:16">
      <c r="D862" s="596"/>
      <c r="G862" s="37"/>
      <c r="H862" s="37"/>
      <c r="I862" s="37"/>
      <c r="J862" s="37"/>
      <c r="K862" s="37"/>
      <c r="L862" s="37"/>
      <c r="M862" s="37"/>
      <c r="O862" s="39"/>
      <c r="P862" s="37"/>
    </row>
    <row r="863" spans="4:16">
      <c r="D863" s="596"/>
      <c r="G863" s="37"/>
      <c r="H863" s="37"/>
      <c r="I863" s="37"/>
      <c r="J863" s="37"/>
      <c r="K863" s="37"/>
      <c r="L863" s="37"/>
      <c r="M863" s="37"/>
      <c r="O863" s="39"/>
      <c r="P863" s="37"/>
    </row>
    <row r="864" spans="4:16">
      <c r="D864" s="596"/>
      <c r="G864" s="37"/>
      <c r="H864" s="37"/>
      <c r="I864" s="37"/>
      <c r="J864" s="37"/>
      <c r="K864" s="37"/>
      <c r="L864" s="37"/>
      <c r="M864" s="37"/>
      <c r="O864" s="39"/>
      <c r="P864" s="37"/>
    </row>
    <row r="865" spans="4:16">
      <c r="D865" s="596"/>
      <c r="G865" s="37"/>
      <c r="H865" s="37"/>
      <c r="I865" s="37"/>
      <c r="J865" s="37"/>
      <c r="K865" s="37"/>
      <c r="L865" s="37"/>
      <c r="M865" s="37"/>
      <c r="O865" s="39"/>
      <c r="P865" s="37"/>
    </row>
    <row r="866" spans="4:16">
      <c r="D866" s="596"/>
      <c r="G866" s="37"/>
      <c r="H866" s="37"/>
      <c r="I866" s="37"/>
      <c r="J866" s="37"/>
      <c r="K866" s="37"/>
      <c r="L866" s="37"/>
      <c r="M866" s="37"/>
      <c r="O866" s="39"/>
      <c r="P866" s="37"/>
    </row>
    <row r="867" spans="4:16">
      <c r="D867" s="596"/>
      <c r="G867" s="37"/>
      <c r="H867" s="37"/>
      <c r="I867" s="37"/>
      <c r="J867" s="37"/>
      <c r="K867" s="37"/>
      <c r="L867" s="37"/>
      <c r="M867" s="37"/>
      <c r="O867" s="39"/>
      <c r="P867" s="37"/>
    </row>
    <row r="868" spans="4:16">
      <c r="D868" s="596"/>
      <c r="G868" s="37"/>
      <c r="H868" s="37"/>
      <c r="I868" s="37"/>
      <c r="J868" s="37"/>
      <c r="K868" s="37"/>
      <c r="L868" s="37"/>
      <c r="M868" s="37"/>
      <c r="O868" s="39"/>
      <c r="P868" s="37"/>
    </row>
    <row r="869" spans="4:16">
      <c r="D869" s="596"/>
      <c r="G869" s="37"/>
      <c r="H869" s="37"/>
      <c r="I869" s="37"/>
      <c r="J869" s="37"/>
      <c r="K869" s="37"/>
      <c r="L869" s="37"/>
      <c r="M869" s="37"/>
      <c r="O869" s="39"/>
      <c r="P869" s="37"/>
    </row>
    <row r="870" spans="4:16">
      <c r="D870" s="596"/>
      <c r="G870" s="37"/>
      <c r="H870" s="37"/>
      <c r="I870" s="37"/>
      <c r="J870" s="37"/>
      <c r="K870" s="37"/>
      <c r="L870" s="37"/>
      <c r="M870" s="37"/>
      <c r="O870" s="39"/>
      <c r="P870" s="37"/>
    </row>
    <row r="871" spans="4:16">
      <c r="D871" s="596"/>
      <c r="G871" s="37"/>
      <c r="H871" s="37"/>
      <c r="I871" s="37"/>
      <c r="J871" s="37"/>
      <c r="K871" s="37"/>
      <c r="L871" s="37"/>
      <c r="M871" s="37"/>
      <c r="O871" s="39"/>
      <c r="P871" s="37"/>
    </row>
    <row r="872" spans="4:16">
      <c r="D872" s="596"/>
      <c r="G872" s="37"/>
      <c r="H872" s="37"/>
      <c r="I872" s="37"/>
      <c r="J872" s="37"/>
      <c r="K872" s="37"/>
      <c r="L872" s="37"/>
      <c r="M872" s="37"/>
      <c r="O872" s="39"/>
      <c r="P872" s="37"/>
    </row>
    <row r="873" spans="4:16">
      <c r="D873" s="596"/>
      <c r="G873" s="37"/>
      <c r="H873" s="37"/>
      <c r="I873" s="37"/>
      <c r="J873" s="37"/>
      <c r="K873" s="37"/>
      <c r="L873" s="37"/>
      <c r="M873" s="37"/>
      <c r="O873" s="39"/>
      <c r="P873" s="37"/>
    </row>
    <row r="874" spans="4:16">
      <c r="D874" s="596"/>
      <c r="G874" s="37"/>
      <c r="H874" s="37"/>
      <c r="I874" s="37"/>
      <c r="J874" s="37"/>
      <c r="K874" s="37"/>
      <c r="L874" s="37"/>
      <c r="M874" s="37"/>
      <c r="O874" s="39"/>
      <c r="P874" s="37"/>
    </row>
    <row r="875" spans="4:16">
      <c r="D875" s="596"/>
      <c r="G875" s="37"/>
      <c r="H875" s="37"/>
      <c r="I875" s="37"/>
      <c r="J875" s="37"/>
      <c r="K875" s="37"/>
      <c r="L875" s="37"/>
      <c r="M875" s="37"/>
      <c r="O875" s="39"/>
      <c r="P875" s="37"/>
    </row>
    <row r="876" spans="4:16">
      <c r="D876" s="596"/>
      <c r="G876" s="37"/>
      <c r="H876" s="37"/>
      <c r="I876" s="37"/>
      <c r="J876" s="37"/>
      <c r="K876" s="37"/>
      <c r="L876" s="37"/>
      <c r="M876" s="37"/>
      <c r="O876" s="39"/>
      <c r="P876" s="37"/>
    </row>
    <row r="877" spans="4:16">
      <c r="D877" s="596"/>
      <c r="G877" s="37"/>
      <c r="H877" s="37"/>
      <c r="I877" s="37"/>
      <c r="J877" s="37"/>
      <c r="K877" s="37"/>
      <c r="L877" s="37"/>
      <c r="M877" s="37"/>
      <c r="O877" s="39"/>
      <c r="P877" s="37"/>
    </row>
    <row r="878" spans="4:16">
      <c r="D878" s="596"/>
      <c r="G878" s="37"/>
      <c r="H878" s="37"/>
      <c r="I878" s="37"/>
      <c r="J878" s="37"/>
      <c r="K878" s="37"/>
      <c r="L878" s="37"/>
      <c r="M878" s="37"/>
      <c r="O878" s="39"/>
      <c r="P878" s="37"/>
    </row>
    <row r="879" spans="4:16">
      <c r="D879" s="596"/>
      <c r="G879" s="37"/>
      <c r="H879" s="37"/>
      <c r="I879" s="37"/>
      <c r="J879" s="37"/>
      <c r="K879" s="37"/>
      <c r="L879" s="37"/>
      <c r="M879" s="37"/>
      <c r="O879" s="39"/>
      <c r="P879" s="37"/>
    </row>
    <row r="880" spans="4:16">
      <c r="D880" s="596"/>
      <c r="G880" s="37"/>
      <c r="H880" s="37"/>
      <c r="I880" s="37"/>
      <c r="J880" s="37"/>
      <c r="K880" s="37"/>
      <c r="L880" s="37"/>
      <c r="M880" s="37"/>
      <c r="O880" s="39"/>
      <c r="P880" s="37"/>
    </row>
    <row r="881" spans="4:16">
      <c r="D881" s="596"/>
      <c r="G881" s="37"/>
      <c r="H881" s="37"/>
      <c r="I881" s="37"/>
      <c r="J881" s="37"/>
      <c r="K881" s="37"/>
      <c r="L881" s="37"/>
      <c r="M881" s="37"/>
      <c r="O881" s="39"/>
      <c r="P881" s="37"/>
    </row>
    <row r="882" spans="4:16">
      <c r="D882" s="596"/>
      <c r="G882" s="37"/>
      <c r="H882" s="37"/>
      <c r="I882" s="37"/>
      <c r="J882" s="37"/>
      <c r="K882" s="37"/>
      <c r="L882" s="37"/>
      <c r="M882" s="37"/>
      <c r="O882" s="39"/>
      <c r="P882" s="37"/>
    </row>
    <row r="883" spans="4:16">
      <c r="D883" s="596"/>
      <c r="G883" s="37"/>
      <c r="H883" s="37"/>
      <c r="I883" s="37"/>
      <c r="J883" s="37"/>
      <c r="K883" s="37"/>
      <c r="L883" s="37"/>
      <c r="M883" s="37"/>
      <c r="O883" s="39"/>
      <c r="P883" s="37"/>
    </row>
    <row r="884" spans="4:16">
      <c r="D884" s="596"/>
      <c r="G884" s="37"/>
      <c r="H884" s="37"/>
      <c r="I884" s="37"/>
      <c r="J884" s="37"/>
      <c r="K884" s="37"/>
      <c r="L884" s="37"/>
      <c r="M884" s="37"/>
      <c r="O884" s="39"/>
      <c r="P884" s="37"/>
    </row>
    <row r="885" spans="4:16">
      <c r="D885" s="596"/>
      <c r="G885" s="37"/>
      <c r="H885" s="37"/>
      <c r="I885" s="37"/>
      <c r="J885" s="37"/>
      <c r="K885" s="37"/>
      <c r="L885" s="37"/>
      <c r="M885" s="37"/>
      <c r="O885" s="39"/>
      <c r="P885" s="37"/>
    </row>
    <row r="886" spans="4:16">
      <c r="D886" s="596"/>
      <c r="G886" s="37"/>
      <c r="H886" s="37"/>
      <c r="I886" s="37"/>
      <c r="J886" s="37"/>
      <c r="K886" s="37"/>
      <c r="L886" s="37"/>
      <c r="M886" s="37"/>
      <c r="O886" s="39"/>
      <c r="P886" s="37"/>
    </row>
    <row r="887" spans="4:16">
      <c r="D887" s="596"/>
      <c r="G887" s="37"/>
      <c r="H887" s="37"/>
      <c r="I887" s="37"/>
      <c r="J887" s="37"/>
      <c r="K887" s="37"/>
      <c r="L887" s="37"/>
      <c r="M887" s="37"/>
      <c r="O887" s="39"/>
      <c r="P887" s="37"/>
    </row>
    <row r="888" spans="4:16">
      <c r="D888" s="596"/>
      <c r="G888" s="37"/>
      <c r="H888" s="37"/>
      <c r="I888" s="37"/>
      <c r="J888" s="37"/>
      <c r="K888" s="37"/>
      <c r="L888" s="37"/>
      <c r="M888" s="37"/>
      <c r="O888" s="39"/>
      <c r="P888" s="37"/>
    </row>
    <row r="889" spans="4:16">
      <c r="D889" s="596"/>
      <c r="G889" s="37"/>
      <c r="H889" s="37"/>
      <c r="I889" s="37"/>
      <c r="J889" s="37"/>
      <c r="K889" s="37"/>
      <c r="L889" s="37"/>
      <c r="M889" s="37"/>
      <c r="O889" s="39"/>
      <c r="P889" s="37"/>
    </row>
    <row r="890" spans="4:16">
      <c r="D890" s="596"/>
      <c r="G890" s="37"/>
      <c r="H890" s="37"/>
      <c r="I890" s="37"/>
      <c r="J890" s="37"/>
      <c r="K890" s="37"/>
      <c r="L890" s="37"/>
      <c r="M890" s="37"/>
      <c r="O890" s="39"/>
      <c r="P890" s="37"/>
    </row>
    <row r="891" spans="4:16">
      <c r="D891" s="596"/>
      <c r="G891" s="37"/>
      <c r="H891" s="37"/>
      <c r="I891" s="37"/>
      <c r="J891" s="37"/>
      <c r="K891" s="37"/>
      <c r="L891" s="37"/>
      <c r="M891" s="37"/>
      <c r="O891" s="39"/>
      <c r="P891" s="37"/>
    </row>
    <row r="892" spans="4:16">
      <c r="D892" s="596"/>
      <c r="G892" s="37"/>
      <c r="H892" s="37"/>
      <c r="I892" s="37"/>
      <c r="J892" s="37"/>
      <c r="K892" s="37"/>
      <c r="L892" s="37"/>
      <c r="M892" s="37"/>
      <c r="O892" s="39"/>
      <c r="P892" s="37"/>
    </row>
    <row r="893" spans="4:16">
      <c r="D893" s="596"/>
      <c r="G893" s="37"/>
      <c r="H893" s="37"/>
      <c r="I893" s="37"/>
      <c r="J893" s="37"/>
      <c r="K893" s="37"/>
      <c r="L893" s="37"/>
      <c r="M893" s="37"/>
      <c r="O893" s="39"/>
      <c r="P893" s="37"/>
    </row>
    <row r="894" spans="4:16">
      <c r="D894" s="596"/>
      <c r="G894" s="37"/>
      <c r="H894" s="37"/>
      <c r="I894" s="37"/>
      <c r="J894" s="37"/>
      <c r="K894" s="37"/>
      <c r="L894" s="37"/>
      <c r="M894" s="37"/>
      <c r="O894" s="39"/>
      <c r="P894" s="37"/>
    </row>
    <row r="895" spans="4:16">
      <c r="D895" s="596"/>
      <c r="G895" s="37"/>
      <c r="H895" s="37"/>
      <c r="I895" s="37"/>
      <c r="J895" s="37"/>
      <c r="K895" s="37"/>
      <c r="L895" s="37"/>
      <c r="M895" s="37"/>
      <c r="O895" s="39"/>
      <c r="P895" s="37"/>
    </row>
    <row r="896" spans="4:16">
      <c r="D896" s="596"/>
      <c r="G896" s="37"/>
      <c r="H896" s="37"/>
      <c r="I896" s="37"/>
      <c r="J896" s="37"/>
      <c r="K896" s="37"/>
      <c r="L896" s="37"/>
      <c r="M896" s="37"/>
      <c r="O896" s="39"/>
      <c r="P896" s="37"/>
    </row>
    <row r="897" spans="4:16">
      <c r="D897" s="596"/>
      <c r="G897" s="37"/>
      <c r="H897" s="37"/>
      <c r="I897" s="37"/>
      <c r="J897" s="37"/>
      <c r="K897" s="37"/>
      <c r="L897" s="37"/>
      <c r="M897" s="37"/>
      <c r="O897" s="39"/>
      <c r="P897" s="37"/>
    </row>
    <row r="898" spans="4:16">
      <c r="D898" s="596"/>
      <c r="G898" s="37"/>
      <c r="H898" s="37"/>
      <c r="I898" s="37"/>
      <c r="J898" s="37"/>
      <c r="K898" s="37"/>
      <c r="L898" s="37"/>
      <c r="M898" s="37"/>
      <c r="O898" s="39"/>
      <c r="P898" s="37"/>
    </row>
    <row r="899" spans="4:16">
      <c r="D899" s="596"/>
      <c r="G899" s="37"/>
      <c r="H899" s="37"/>
      <c r="I899" s="37"/>
      <c r="J899" s="37"/>
      <c r="K899" s="37"/>
      <c r="L899" s="37"/>
      <c r="M899" s="37"/>
      <c r="O899" s="39"/>
      <c r="P899" s="37"/>
    </row>
    <row r="900" spans="4:16">
      <c r="D900" s="596"/>
      <c r="G900" s="37"/>
      <c r="H900" s="37"/>
      <c r="I900" s="37"/>
      <c r="J900" s="37"/>
      <c r="K900" s="37"/>
      <c r="L900" s="37"/>
      <c r="M900" s="37"/>
      <c r="O900" s="39"/>
      <c r="P900" s="37"/>
    </row>
    <row r="901" spans="4:16">
      <c r="D901" s="596"/>
      <c r="G901" s="37"/>
      <c r="H901" s="37"/>
      <c r="I901" s="37"/>
      <c r="J901" s="37"/>
      <c r="K901" s="37"/>
      <c r="L901" s="37"/>
      <c r="M901" s="37"/>
      <c r="O901" s="39"/>
      <c r="P901" s="37"/>
    </row>
    <row r="902" spans="4:16">
      <c r="D902" s="596"/>
      <c r="G902" s="37"/>
      <c r="H902" s="37"/>
      <c r="I902" s="37"/>
      <c r="J902" s="37"/>
      <c r="K902" s="37"/>
      <c r="L902" s="37"/>
      <c r="M902" s="37"/>
      <c r="O902" s="39"/>
      <c r="P902" s="37"/>
    </row>
    <row r="903" spans="4:16">
      <c r="D903" s="596"/>
      <c r="G903" s="37"/>
      <c r="H903" s="37"/>
      <c r="I903" s="37"/>
      <c r="J903" s="37"/>
      <c r="K903" s="37"/>
      <c r="L903" s="37"/>
      <c r="M903" s="37"/>
      <c r="O903" s="39"/>
      <c r="P903" s="37"/>
    </row>
    <row r="904" spans="4:16">
      <c r="D904" s="596"/>
      <c r="G904" s="37"/>
      <c r="H904" s="37"/>
      <c r="I904" s="37"/>
      <c r="J904" s="37"/>
      <c r="K904" s="37"/>
      <c r="L904" s="37"/>
      <c r="M904" s="37"/>
      <c r="O904" s="39"/>
      <c r="P904" s="37"/>
    </row>
    <row r="905" spans="4:16">
      <c r="D905" s="596"/>
      <c r="G905" s="37"/>
      <c r="H905" s="37"/>
      <c r="I905" s="37"/>
      <c r="J905" s="37"/>
      <c r="K905" s="37"/>
      <c r="L905" s="37"/>
      <c r="M905" s="37"/>
      <c r="O905" s="39"/>
      <c r="P905" s="37"/>
    </row>
    <row r="906" spans="4:16">
      <c r="D906" s="596"/>
      <c r="G906" s="37"/>
      <c r="H906" s="37"/>
      <c r="I906" s="37"/>
      <c r="J906" s="37"/>
      <c r="K906" s="37"/>
      <c r="L906" s="37"/>
      <c r="M906" s="37"/>
      <c r="O906" s="39"/>
      <c r="P906" s="37"/>
    </row>
    <row r="907" spans="4:16">
      <c r="D907" s="596"/>
      <c r="G907" s="37"/>
      <c r="H907" s="37"/>
      <c r="I907" s="37"/>
      <c r="J907" s="37"/>
      <c r="K907" s="37"/>
      <c r="L907" s="37"/>
      <c r="M907" s="37"/>
      <c r="O907" s="39"/>
      <c r="P907" s="37"/>
    </row>
    <row r="908" spans="4:16">
      <c r="D908" s="596"/>
      <c r="G908" s="37"/>
      <c r="H908" s="37"/>
      <c r="I908" s="37"/>
      <c r="J908" s="37"/>
      <c r="K908" s="37"/>
      <c r="L908" s="37"/>
      <c r="M908" s="37"/>
      <c r="O908" s="39"/>
      <c r="P908" s="37"/>
    </row>
    <row r="909" spans="4:16">
      <c r="D909" s="596"/>
      <c r="G909" s="37"/>
      <c r="H909" s="37"/>
      <c r="I909" s="37"/>
      <c r="J909" s="37"/>
      <c r="K909" s="37"/>
      <c r="L909" s="37"/>
      <c r="M909" s="37"/>
      <c r="O909" s="39"/>
      <c r="P909" s="37"/>
    </row>
    <row r="910" spans="4:16">
      <c r="D910" s="596"/>
      <c r="G910" s="37"/>
      <c r="H910" s="37"/>
      <c r="I910" s="37"/>
      <c r="J910" s="37"/>
      <c r="K910" s="37"/>
      <c r="L910" s="37"/>
      <c r="M910" s="37"/>
      <c r="O910" s="39"/>
      <c r="P910" s="37"/>
    </row>
    <row r="911" spans="4:16">
      <c r="D911" s="596"/>
      <c r="G911" s="37"/>
      <c r="H911" s="37"/>
      <c r="I911" s="37"/>
      <c r="J911" s="37"/>
      <c r="K911" s="37"/>
      <c r="L911" s="37"/>
      <c r="M911" s="37"/>
      <c r="O911" s="39"/>
      <c r="P911" s="37"/>
    </row>
    <row r="912" spans="4:16">
      <c r="D912" s="596"/>
      <c r="G912" s="37"/>
      <c r="H912" s="37"/>
      <c r="I912" s="37"/>
      <c r="J912" s="37"/>
      <c r="K912" s="37"/>
      <c r="L912" s="37"/>
      <c r="M912" s="37"/>
      <c r="O912" s="39"/>
      <c r="P912" s="37"/>
    </row>
    <row r="913" spans="4:16">
      <c r="D913" s="596"/>
      <c r="G913" s="37"/>
      <c r="H913" s="37"/>
      <c r="I913" s="37"/>
      <c r="J913" s="37"/>
      <c r="K913" s="37"/>
      <c r="L913" s="37"/>
      <c r="M913" s="37"/>
      <c r="O913" s="39"/>
      <c r="P913" s="37"/>
    </row>
    <row r="914" spans="4:16">
      <c r="D914" s="596"/>
      <c r="G914" s="37"/>
      <c r="H914" s="37"/>
      <c r="I914" s="37"/>
      <c r="J914" s="37"/>
      <c r="K914" s="37"/>
      <c r="L914" s="37"/>
      <c r="M914" s="37"/>
      <c r="O914" s="39"/>
      <c r="P914" s="37"/>
    </row>
    <row r="915" spans="4:16">
      <c r="D915" s="596"/>
      <c r="G915" s="37"/>
      <c r="H915" s="37"/>
      <c r="I915" s="37"/>
      <c r="J915" s="37"/>
      <c r="K915" s="37"/>
      <c r="L915" s="37"/>
      <c r="M915" s="37"/>
      <c r="O915" s="39"/>
      <c r="P915" s="37"/>
    </row>
    <row r="916" spans="4:16">
      <c r="D916" s="596"/>
      <c r="G916" s="37"/>
      <c r="H916" s="37"/>
      <c r="I916" s="37"/>
      <c r="J916" s="37"/>
      <c r="K916" s="37"/>
      <c r="L916" s="37"/>
      <c r="M916" s="37"/>
      <c r="O916" s="39"/>
      <c r="P916" s="37"/>
    </row>
    <row r="917" spans="4:16">
      <c r="D917" s="596"/>
      <c r="G917" s="37"/>
      <c r="H917" s="37"/>
      <c r="I917" s="37"/>
      <c r="J917" s="37"/>
      <c r="K917" s="37"/>
      <c r="L917" s="37"/>
      <c r="M917" s="37"/>
      <c r="O917" s="39"/>
      <c r="P917" s="37"/>
    </row>
    <row r="918" spans="4:16">
      <c r="D918" s="596"/>
      <c r="G918" s="37"/>
      <c r="H918" s="37"/>
      <c r="I918" s="37"/>
      <c r="J918" s="37"/>
      <c r="K918" s="37"/>
      <c r="L918" s="37"/>
      <c r="M918" s="37"/>
      <c r="O918" s="39"/>
      <c r="P918" s="37"/>
    </row>
    <row r="919" spans="4:16">
      <c r="D919" s="596"/>
      <c r="G919" s="37"/>
      <c r="H919" s="37"/>
      <c r="I919" s="37"/>
      <c r="J919" s="37"/>
      <c r="K919" s="37"/>
      <c r="L919" s="37"/>
      <c r="M919" s="37"/>
      <c r="O919" s="39"/>
      <c r="P919" s="37"/>
    </row>
    <row r="920" spans="4:16">
      <c r="D920" s="596"/>
      <c r="G920" s="37"/>
      <c r="H920" s="37"/>
      <c r="I920" s="37"/>
      <c r="J920" s="37"/>
      <c r="K920" s="37"/>
      <c r="L920" s="37"/>
      <c r="M920" s="37"/>
      <c r="O920" s="39"/>
      <c r="P920" s="37"/>
    </row>
    <row r="921" spans="4:16">
      <c r="D921" s="596"/>
      <c r="G921" s="37"/>
      <c r="H921" s="37"/>
      <c r="I921" s="37"/>
      <c r="J921" s="37"/>
      <c r="K921" s="37"/>
      <c r="L921" s="37"/>
      <c r="M921" s="37"/>
      <c r="O921" s="39"/>
      <c r="P921" s="37"/>
    </row>
    <row r="922" spans="4:16">
      <c r="D922" s="596"/>
      <c r="G922" s="37"/>
      <c r="H922" s="37"/>
      <c r="I922" s="37"/>
      <c r="J922" s="37"/>
      <c r="K922" s="37"/>
      <c r="L922" s="37"/>
      <c r="M922" s="37"/>
      <c r="O922" s="39"/>
      <c r="P922" s="37"/>
    </row>
    <row r="923" spans="4:16">
      <c r="D923" s="596"/>
      <c r="G923" s="37"/>
      <c r="H923" s="37"/>
      <c r="I923" s="37"/>
      <c r="J923" s="37"/>
      <c r="K923" s="37"/>
      <c r="L923" s="37"/>
      <c r="M923" s="37"/>
      <c r="O923" s="39"/>
      <c r="P923" s="37"/>
    </row>
    <row r="924" spans="4:16">
      <c r="D924" s="596"/>
      <c r="G924" s="37"/>
      <c r="H924" s="37"/>
      <c r="I924" s="37"/>
      <c r="J924" s="37"/>
      <c r="K924" s="37"/>
      <c r="L924" s="37"/>
      <c r="M924" s="37"/>
      <c r="O924" s="39"/>
      <c r="P924" s="37"/>
    </row>
    <row r="925" spans="4:16">
      <c r="D925" s="596"/>
      <c r="G925" s="37"/>
      <c r="H925" s="37"/>
      <c r="I925" s="37"/>
      <c r="J925" s="37"/>
      <c r="K925" s="37"/>
      <c r="L925" s="37"/>
      <c r="M925" s="37"/>
      <c r="O925" s="39"/>
      <c r="P925" s="37"/>
    </row>
    <row r="926" spans="4:16">
      <c r="D926" s="596"/>
      <c r="G926" s="37"/>
      <c r="H926" s="37"/>
      <c r="I926" s="37"/>
      <c r="J926" s="37"/>
      <c r="K926" s="37"/>
      <c r="L926" s="37"/>
      <c r="M926" s="37"/>
      <c r="O926" s="39"/>
      <c r="P926" s="37"/>
    </row>
    <row r="927" spans="4:16">
      <c r="D927" s="596"/>
      <c r="G927" s="37"/>
      <c r="H927" s="37"/>
      <c r="I927" s="37"/>
      <c r="J927" s="37"/>
      <c r="K927" s="37"/>
      <c r="L927" s="37"/>
      <c r="M927" s="37"/>
      <c r="O927" s="39"/>
      <c r="P927" s="37"/>
    </row>
    <row r="928" spans="4:16">
      <c r="D928" s="596"/>
      <c r="G928" s="37"/>
      <c r="H928" s="37"/>
      <c r="I928" s="37"/>
      <c r="J928" s="37"/>
      <c r="K928" s="37"/>
      <c r="L928" s="37"/>
      <c r="M928" s="37"/>
      <c r="O928" s="39"/>
      <c r="P928" s="37"/>
    </row>
    <row r="929" spans="4:16">
      <c r="D929" s="596"/>
      <c r="G929" s="37"/>
      <c r="H929" s="37"/>
      <c r="I929" s="37"/>
      <c r="J929" s="37"/>
      <c r="K929" s="37"/>
      <c r="L929" s="37"/>
      <c r="M929" s="37"/>
      <c r="O929" s="39"/>
      <c r="P929" s="37"/>
    </row>
    <row r="930" spans="4:16">
      <c r="D930" s="596"/>
      <c r="G930" s="37"/>
      <c r="H930" s="37"/>
      <c r="I930" s="37"/>
      <c r="J930" s="37"/>
      <c r="K930" s="37"/>
      <c r="L930" s="37"/>
      <c r="M930" s="37"/>
      <c r="O930" s="39"/>
      <c r="P930" s="37"/>
    </row>
    <row r="931" spans="4:16">
      <c r="D931" s="596"/>
      <c r="G931" s="37"/>
      <c r="H931" s="37"/>
      <c r="I931" s="37"/>
      <c r="J931" s="37"/>
      <c r="K931" s="37"/>
      <c r="L931" s="37"/>
      <c r="M931" s="37"/>
      <c r="O931" s="39"/>
      <c r="P931" s="37"/>
    </row>
    <row r="932" spans="4:16">
      <c r="D932" s="596"/>
      <c r="G932" s="37"/>
      <c r="H932" s="37"/>
      <c r="I932" s="37"/>
      <c r="J932" s="37"/>
      <c r="K932" s="37"/>
      <c r="L932" s="37"/>
      <c r="M932" s="37"/>
      <c r="O932" s="39"/>
      <c r="P932" s="37"/>
    </row>
    <row r="933" spans="4:16">
      <c r="D933" s="596"/>
      <c r="G933" s="37"/>
      <c r="H933" s="37"/>
      <c r="I933" s="37"/>
      <c r="J933" s="37"/>
      <c r="K933" s="37"/>
      <c r="L933" s="37"/>
      <c r="M933" s="37"/>
      <c r="O933" s="39"/>
      <c r="P933" s="37"/>
    </row>
    <row r="934" spans="4:16">
      <c r="D934" s="596"/>
      <c r="G934" s="37"/>
      <c r="H934" s="37"/>
      <c r="I934" s="37"/>
      <c r="J934" s="37"/>
      <c r="K934" s="37"/>
      <c r="L934" s="37"/>
      <c r="M934" s="37"/>
      <c r="O934" s="39"/>
      <c r="P934" s="37"/>
    </row>
    <row r="935" spans="4:16">
      <c r="D935" s="596"/>
      <c r="G935" s="37"/>
      <c r="H935" s="37"/>
      <c r="I935" s="37"/>
      <c r="J935" s="37"/>
      <c r="K935" s="37"/>
      <c r="L935" s="37"/>
      <c r="M935" s="37"/>
      <c r="O935" s="39"/>
      <c r="P935" s="37"/>
    </row>
    <row r="936" spans="4:16">
      <c r="D936" s="596"/>
      <c r="G936" s="37"/>
      <c r="H936" s="37"/>
      <c r="I936" s="37"/>
      <c r="J936" s="37"/>
      <c r="K936" s="37"/>
      <c r="L936" s="37"/>
      <c r="M936" s="37"/>
      <c r="O936" s="39"/>
      <c r="P936" s="37"/>
    </row>
    <row r="937" spans="4:16">
      <c r="D937" s="596"/>
      <c r="G937" s="37"/>
      <c r="H937" s="37"/>
      <c r="I937" s="37"/>
      <c r="J937" s="37"/>
      <c r="K937" s="37"/>
      <c r="L937" s="37"/>
      <c r="M937" s="37"/>
      <c r="O937" s="39"/>
      <c r="P937" s="37"/>
    </row>
    <row r="938" spans="4:16">
      <c r="D938" s="596"/>
      <c r="G938" s="37"/>
      <c r="H938" s="37"/>
      <c r="I938" s="37"/>
      <c r="J938" s="37"/>
      <c r="K938" s="37"/>
      <c r="L938" s="37"/>
      <c r="M938" s="37"/>
      <c r="O938" s="39"/>
      <c r="P938" s="37"/>
    </row>
    <row r="939" spans="4:16">
      <c r="D939" s="596"/>
      <c r="G939" s="37"/>
      <c r="H939" s="37"/>
      <c r="I939" s="37"/>
      <c r="J939" s="37"/>
      <c r="K939" s="37"/>
      <c r="L939" s="37"/>
      <c r="M939" s="37"/>
      <c r="O939" s="39"/>
      <c r="P939" s="37"/>
    </row>
    <row r="940" spans="4:16">
      <c r="D940" s="596"/>
      <c r="G940" s="37"/>
      <c r="H940" s="37"/>
      <c r="I940" s="37"/>
      <c r="J940" s="37"/>
      <c r="K940" s="37"/>
      <c r="L940" s="37"/>
      <c r="M940" s="37"/>
      <c r="O940" s="39"/>
      <c r="P940" s="37"/>
    </row>
    <row r="941" spans="4:16">
      <c r="D941" s="596"/>
      <c r="G941" s="37"/>
      <c r="H941" s="37"/>
      <c r="I941" s="37"/>
      <c r="J941" s="37"/>
      <c r="K941" s="37"/>
      <c r="L941" s="37"/>
      <c r="M941" s="37"/>
      <c r="O941" s="39"/>
      <c r="P941" s="37"/>
    </row>
    <row r="942" spans="4:16">
      <c r="D942" s="596"/>
      <c r="G942" s="37"/>
      <c r="H942" s="37"/>
      <c r="I942" s="37"/>
      <c r="J942" s="37"/>
      <c r="K942" s="37"/>
      <c r="L942" s="37"/>
      <c r="M942" s="37"/>
      <c r="O942" s="39"/>
      <c r="P942" s="37"/>
    </row>
    <row r="943" spans="4:16">
      <c r="D943" s="596"/>
      <c r="G943" s="37"/>
      <c r="H943" s="37"/>
      <c r="I943" s="37"/>
      <c r="J943" s="37"/>
      <c r="K943" s="37"/>
      <c r="L943" s="37"/>
      <c r="M943" s="37"/>
      <c r="O943" s="39"/>
      <c r="P943" s="37"/>
    </row>
    <row r="944" spans="4:16">
      <c r="D944" s="596"/>
      <c r="G944" s="37"/>
      <c r="H944" s="37"/>
      <c r="I944" s="37"/>
      <c r="J944" s="37"/>
      <c r="K944" s="37"/>
      <c r="L944" s="37"/>
      <c r="M944" s="37"/>
      <c r="O944" s="39"/>
      <c r="P944" s="37"/>
    </row>
    <row r="945" spans="4:16">
      <c r="D945" s="596"/>
      <c r="G945" s="37"/>
      <c r="H945" s="37"/>
      <c r="I945" s="37"/>
      <c r="J945" s="37"/>
      <c r="K945" s="37"/>
      <c r="L945" s="37"/>
      <c r="M945" s="37"/>
      <c r="O945" s="39"/>
      <c r="P945" s="37"/>
    </row>
    <row r="946" spans="4:16">
      <c r="D946" s="596"/>
      <c r="G946" s="37"/>
      <c r="H946" s="37"/>
      <c r="I946" s="37"/>
      <c r="J946" s="37"/>
      <c r="K946" s="37"/>
      <c r="L946" s="37"/>
      <c r="M946" s="37"/>
      <c r="O946" s="39"/>
      <c r="P946" s="37"/>
    </row>
    <row r="947" spans="4:16">
      <c r="D947" s="596"/>
      <c r="G947" s="37"/>
      <c r="H947" s="37"/>
      <c r="I947" s="37"/>
      <c r="J947" s="37"/>
      <c r="K947" s="37"/>
      <c r="L947" s="37"/>
      <c r="M947" s="37"/>
      <c r="O947" s="39"/>
      <c r="P947" s="37"/>
    </row>
    <row r="948" spans="4:16">
      <c r="D948" s="596"/>
      <c r="G948" s="37"/>
      <c r="H948" s="37"/>
      <c r="I948" s="37"/>
      <c r="J948" s="37"/>
      <c r="K948" s="37"/>
      <c r="L948" s="37"/>
      <c r="M948" s="37"/>
      <c r="O948" s="39"/>
      <c r="P948" s="37"/>
    </row>
    <row r="949" spans="4:16">
      <c r="D949" s="596"/>
      <c r="G949" s="37"/>
      <c r="H949" s="37"/>
      <c r="I949" s="37"/>
      <c r="J949" s="37"/>
      <c r="K949" s="37"/>
      <c r="L949" s="37"/>
      <c r="M949" s="37"/>
      <c r="O949" s="39"/>
      <c r="P949" s="37"/>
    </row>
    <row r="950" spans="4:16">
      <c r="D950" s="596"/>
      <c r="G950" s="37"/>
      <c r="H950" s="37"/>
      <c r="I950" s="37"/>
      <c r="J950" s="37"/>
      <c r="K950" s="37"/>
      <c r="L950" s="37"/>
      <c r="M950" s="37"/>
      <c r="O950" s="39"/>
      <c r="P950" s="37"/>
    </row>
    <row r="951" spans="4:16">
      <c r="D951" s="596"/>
      <c r="G951" s="37"/>
      <c r="H951" s="37"/>
      <c r="I951" s="37"/>
      <c r="J951" s="37"/>
      <c r="K951" s="37"/>
      <c r="L951" s="37"/>
      <c r="M951" s="37"/>
      <c r="O951" s="39"/>
      <c r="P951" s="37"/>
    </row>
    <row r="952" spans="4:16">
      <c r="D952" s="596"/>
      <c r="G952" s="37"/>
      <c r="H952" s="37"/>
      <c r="I952" s="37"/>
      <c r="J952" s="37"/>
      <c r="K952" s="37"/>
      <c r="L952" s="37"/>
      <c r="M952" s="37"/>
      <c r="O952" s="39"/>
      <c r="P952" s="37"/>
    </row>
    <row r="953" spans="4:16">
      <c r="D953" s="596"/>
      <c r="G953" s="37"/>
      <c r="H953" s="37"/>
      <c r="I953" s="37"/>
      <c r="J953" s="37"/>
      <c r="K953" s="37"/>
      <c r="L953" s="37"/>
      <c r="M953" s="37"/>
      <c r="O953" s="39"/>
      <c r="P953" s="37"/>
    </row>
    <row r="954" spans="4:16">
      <c r="D954" s="596"/>
      <c r="G954" s="37"/>
      <c r="H954" s="37"/>
      <c r="I954" s="37"/>
      <c r="J954" s="37"/>
      <c r="K954" s="37"/>
      <c r="L954" s="37"/>
      <c r="M954" s="37"/>
      <c r="O954" s="39"/>
      <c r="P954" s="37"/>
    </row>
    <row r="955" spans="4:16">
      <c r="D955" s="596"/>
      <c r="G955" s="37"/>
      <c r="H955" s="37"/>
      <c r="I955" s="37"/>
      <c r="J955" s="37"/>
      <c r="K955" s="37"/>
      <c r="L955" s="37"/>
      <c r="M955" s="37"/>
      <c r="O955" s="39"/>
      <c r="P955" s="37"/>
    </row>
    <row r="956" spans="4:16">
      <c r="D956" s="596"/>
      <c r="G956" s="37"/>
      <c r="H956" s="37"/>
      <c r="I956" s="37"/>
      <c r="J956" s="37"/>
      <c r="K956" s="37"/>
      <c r="L956" s="37"/>
      <c r="M956" s="37"/>
      <c r="O956" s="39"/>
      <c r="P956" s="37"/>
    </row>
    <row r="957" spans="4:16">
      <c r="D957" s="596"/>
      <c r="G957" s="37"/>
      <c r="H957" s="37"/>
      <c r="I957" s="37"/>
      <c r="J957" s="37"/>
      <c r="K957" s="37"/>
      <c r="L957" s="37"/>
      <c r="M957" s="37"/>
      <c r="O957" s="39"/>
      <c r="P957" s="37"/>
    </row>
    <row r="958" spans="4:16">
      <c r="D958" s="596"/>
      <c r="G958" s="37"/>
      <c r="H958" s="37"/>
      <c r="I958" s="37"/>
      <c r="J958" s="37"/>
      <c r="K958" s="37"/>
      <c r="L958" s="37"/>
      <c r="M958" s="37"/>
      <c r="O958" s="39"/>
      <c r="P958" s="37"/>
    </row>
    <row r="959" spans="4:16">
      <c r="D959" s="596"/>
      <c r="G959" s="37"/>
      <c r="H959" s="37"/>
      <c r="I959" s="37"/>
      <c r="J959" s="37"/>
      <c r="K959" s="37"/>
      <c r="L959" s="37"/>
      <c r="M959" s="37"/>
      <c r="O959" s="39"/>
      <c r="P959" s="37"/>
    </row>
    <row r="960" spans="4:16">
      <c r="D960" s="596"/>
      <c r="G960" s="37"/>
      <c r="H960" s="37"/>
      <c r="I960" s="37"/>
      <c r="J960" s="37"/>
      <c r="K960" s="37"/>
      <c r="L960" s="37"/>
      <c r="M960" s="37"/>
      <c r="O960" s="39"/>
      <c r="P960" s="37"/>
    </row>
    <row r="961" spans="4:16">
      <c r="D961" s="596"/>
      <c r="G961" s="37"/>
      <c r="H961" s="37"/>
      <c r="I961" s="37"/>
      <c r="J961" s="37"/>
      <c r="K961" s="37"/>
      <c r="L961" s="37"/>
      <c r="M961" s="37"/>
      <c r="O961" s="39"/>
      <c r="P961" s="37"/>
    </row>
    <row r="962" spans="4:16">
      <c r="D962" s="596"/>
      <c r="G962" s="37"/>
      <c r="H962" s="37"/>
      <c r="I962" s="37"/>
      <c r="J962" s="37"/>
      <c r="K962" s="37"/>
      <c r="L962" s="37"/>
      <c r="M962" s="37"/>
      <c r="O962" s="39"/>
      <c r="P962" s="37"/>
    </row>
    <row r="963" spans="4:16">
      <c r="D963" s="596"/>
      <c r="G963" s="37"/>
      <c r="H963" s="37"/>
      <c r="I963" s="37"/>
      <c r="J963" s="37"/>
      <c r="K963" s="37"/>
      <c r="L963" s="37"/>
      <c r="M963" s="37"/>
      <c r="O963" s="39"/>
      <c r="P963" s="37"/>
    </row>
    <row r="964" spans="4:16">
      <c r="D964" s="596"/>
      <c r="G964" s="37"/>
      <c r="H964" s="37"/>
      <c r="I964" s="37"/>
      <c r="J964" s="37"/>
      <c r="K964" s="37"/>
      <c r="L964" s="37"/>
      <c r="M964" s="37"/>
      <c r="O964" s="39"/>
      <c r="P964" s="37"/>
    </row>
    <row r="965" spans="4:16">
      <c r="D965" s="596"/>
      <c r="G965" s="37"/>
      <c r="H965" s="37"/>
      <c r="I965" s="37"/>
      <c r="J965" s="37"/>
      <c r="K965" s="37"/>
      <c r="L965" s="37"/>
      <c r="M965" s="37"/>
      <c r="O965" s="39"/>
      <c r="P965" s="37"/>
    </row>
    <row r="966" spans="4:16">
      <c r="D966" s="596"/>
      <c r="G966" s="37"/>
      <c r="H966" s="37"/>
      <c r="I966" s="37"/>
      <c r="J966" s="37"/>
      <c r="K966" s="37"/>
      <c r="L966" s="37"/>
      <c r="M966" s="37"/>
      <c r="O966" s="39"/>
      <c r="P966" s="37"/>
    </row>
    <row r="967" spans="4:16">
      <c r="D967" s="596"/>
      <c r="G967" s="37"/>
      <c r="H967" s="37"/>
      <c r="I967" s="37"/>
      <c r="J967" s="37"/>
      <c r="K967" s="37"/>
      <c r="L967" s="37"/>
      <c r="M967" s="37"/>
      <c r="O967" s="39"/>
      <c r="P967" s="37"/>
    </row>
    <row r="968" spans="4:16">
      <c r="D968" s="596"/>
      <c r="G968" s="37"/>
      <c r="H968" s="37"/>
      <c r="I968" s="37"/>
      <c r="J968" s="37"/>
      <c r="K968" s="37"/>
      <c r="L968" s="37"/>
      <c r="M968" s="37"/>
      <c r="O968" s="39"/>
      <c r="P968" s="37"/>
    </row>
    <row r="969" spans="4:16">
      <c r="D969" s="596"/>
      <c r="G969" s="37"/>
      <c r="H969" s="37"/>
      <c r="I969" s="37"/>
      <c r="J969" s="37"/>
      <c r="K969" s="37"/>
      <c r="L969" s="37"/>
      <c r="M969" s="37"/>
      <c r="O969" s="39"/>
      <c r="P969" s="37"/>
    </row>
    <row r="970" spans="4:16">
      <c r="D970" s="596"/>
      <c r="G970" s="37"/>
      <c r="H970" s="37"/>
      <c r="I970" s="37"/>
      <c r="J970" s="37"/>
      <c r="K970" s="37"/>
      <c r="L970" s="37"/>
      <c r="M970" s="37"/>
      <c r="O970" s="39"/>
      <c r="P970" s="37"/>
    </row>
    <row r="971" spans="4:16">
      <c r="D971" s="596"/>
      <c r="G971" s="37"/>
      <c r="H971" s="37"/>
      <c r="I971" s="37"/>
      <c r="J971" s="37"/>
      <c r="K971" s="37"/>
      <c r="L971" s="37"/>
      <c r="M971" s="37"/>
      <c r="O971" s="39"/>
      <c r="P971" s="37"/>
    </row>
    <row r="972" spans="4:16">
      <c r="D972" s="596"/>
      <c r="G972" s="37"/>
      <c r="H972" s="37"/>
      <c r="I972" s="37"/>
      <c r="J972" s="37"/>
      <c r="K972" s="37"/>
      <c r="L972" s="37"/>
      <c r="M972" s="37"/>
      <c r="O972" s="39"/>
      <c r="P972" s="37"/>
    </row>
    <row r="973" spans="4:16">
      <c r="D973" s="596"/>
      <c r="G973" s="37"/>
      <c r="H973" s="37"/>
      <c r="I973" s="37"/>
      <c r="J973" s="37"/>
      <c r="K973" s="37"/>
      <c r="L973" s="37"/>
      <c r="M973" s="37"/>
      <c r="O973" s="39"/>
      <c r="P973" s="37"/>
    </row>
    <row r="974" spans="4:16">
      <c r="D974" s="596"/>
      <c r="G974" s="37"/>
      <c r="H974" s="37"/>
      <c r="I974" s="37"/>
      <c r="J974" s="37"/>
      <c r="K974" s="37"/>
      <c r="L974" s="37"/>
      <c r="M974" s="37"/>
      <c r="O974" s="39"/>
      <c r="P974" s="37"/>
    </row>
    <row r="975" spans="4:16">
      <c r="D975" s="596"/>
      <c r="G975" s="37"/>
      <c r="H975" s="37"/>
      <c r="I975" s="37"/>
      <c r="J975" s="37"/>
      <c r="K975" s="37"/>
      <c r="L975" s="37"/>
      <c r="M975" s="37"/>
      <c r="O975" s="39"/>
      <c r="P975" s="37"/>
    </row>
    <row r="976" spans="4:16">
      <c r="D976" s="596"/>
      <c r="G976" s="37"/>
      <c r="H976" s="37"/>
      <c r="I976" s="37"/>
      <c r="J976" s="37"/>
      <c r="K976" s="37"/>
      <c r="L976" s="37"/>
      <c r="M976" s="37"/>
      <c r="O976" s="39"/>
      <c r="P976" s="37"/>
    </row>
    <row r="977" spans="4:16">
      <c r="D977" s="596"/>
      <c r="G977" s="37"/>
      <c r="H977" s="37"/>
      <c r="I977" s="37"/>
      <c r="J977" s="37"/>
      <c r="K977" s="37"/>
      <c r="L977" s="37"/>
      <c r="M977" s="37"/>
      <c r="O977" s="39"/>
      <c r="P977" s="37"/>
    </row>
    <row r="978" spans="4:16">
      <c r="D978" s="596"/>
      <c r="G978" s="37"/>
      <c r="H978" s="37"/>
      <c r="I978" s="37"/>
      <c r="J978" s="37"/>
      <c r="K978" s="37"/>
      <c r="L978" s="37"/>
      <c r="M978" s="37"/>
      <c r="O978" s="39"/>
      <c r="P978" s="37"/>
    </row>
    <row r="979" spans="4:16">
      <c r="D979" s="596"/>
      <c r="G979" s="37"/>
      <c r="H979" s="37"/>
      <c r="I979" s="37"/>
      <c r="J979" s="37"/>
      <c r="K979" s="37"/>
      <c r="L979" s="37"/>
      <c r="M979" s="37"/>
      <c r="O979" s="39"/>
      <c r="P979" s="37"/>
    </row>
    <row r="980" spans="4:16">
      <c r="D980" s="596"/>
      <c r="G980" s="37"/>
      <c r="H980" s="37"/>
      <c r="I980" s="37"/>
      <c r="J980" s="37"/>
      <c r="K980" s="37"/>
      <c r="L980" s="37"/>
      <c r="M980" s="37"/>
      <c r="O980" s="39"/>
      <c r="P980" s="37"/>
    </row>
    <row r="981" spans="4:16">
      <c r="D981" s="596"/>
      <c r="G981" s="37"/>
      <c r="H981" s="37"/>
      <c r="I981" s="37"/>
      <c r="J981" s="37"/>
      <c r="K981" s="37"/>
      <c r="L981" s="37"/>
      <c r="M981" s="37"/>
      <c r="O981" s="39"/>
      <c r="P981" s="37"/>
    </row>
    <row r="982" spans="4:16">
      <c r="D982" s="596"/>
      <c r="G982" s="37"/>
      <c r="H982" s="37"/>
      <c r="I982" s="37"/>
      <c r="J982" s="37"/>
      <c r="K982" s="37"/>
      <c r="L982" s="37"/>
      <c r="M982" s="37"/>
      <c r="O982" s="39"/>
      <c r="P982" s="37"/>
    </row>
    <row r="983" spans="4:16">
      <c r="D983" s="596"/>
      <c r="G983" s="37"/>
      <c r="H983" s="37"/>
      <c r="I983" s="37"/>
      <c r="J983" s="37"/>
      <c r="K983" s="37"/>
      <c r="L983" s="37"/>
      <c r="M983" s="37"/>
      <c r="O983" s="39"/>
      <c r="P983" s="37"/>
    </row>
    <row r="984" spans="4:16">
      <c r="D984" s="596"/>
      <c r="G984" s="37"/>
      <c r="H984" s="37"/>
      <c r="I984" s="37"/>
      <c r="J984" s="37"/>
      <c r="K984" s="37"/>
      <c r="L984" s="37"/>
      <c r="M984" s="37"/>
      <c r="O984" s="39"/>
      <c r="P984" s="37"/>
    </row>
    <row r="985" spans="4:16">
      <c r="D985" s="596"/>
      <c r="G985" s="37"/>
      <c r="H985" s="37"/>
      <c r="I985" s="37"/>
      <c r="J985" s="37"/>
      <c r="K985" s="37"/>
      <c r="L985" s="37"/>
      <c r="M985" s="37"/>
      <c r="O985" s="39"/>
      <c r="P985" s="37"/>
    </row>
    <row r="986" spans="4:16">
      <c r="D986" s="596"/>
      <c r="G986" s="37"/>
      <c r="H986" s="37"/>
      <c r="I986" s="37"/>
      <c r="J986" s="37"/>
      <c r="K986" s="37"/>
      <c r="L986" s="37"/>
      <c r="M986" s="37"/>
      <c r="O986" s="39"/>
      <c r="P986" s="37"/>
    </row>
    <row r="987" spans="4:16">
      <c r="D987" s="596"/>
      <c r="G987" s="37"/>
      <c r="H987" s="37"/>
      <c r="I987" s="37"/>
      <c r="J987" s="37"/>
      <c r="K987" s="37"/>
      <c r="L987" s="37"/>
      <c r="M987" s="37"/>
      <c r="O987" s="39"/>
      <c r="P987" s="37"/>
    </row>
    <row r="988" spans="4:16">
      <c r="D988" s="596"/>
      <c r="G988" s="37"/>
      <c r="H988" s="37"/>
      <c r="I988" s="37"/>
      <c r="J988" s="37"/>
      <c r="K988" s="37"/>
      <c r="L988" s="37"/>
      <c r="M988" s="37"/>
      <c r="O988" s="39"/>
      <c r="P988" s="37"/>
    </row>
    <row r="989" spans="4:16">
      <c r="D989" s="596"/>
      <c r="G989" s="37"/>
      <c r="H989" s="37"/>
      <c r="I989" s="37"/>
      <c r="J989" s="37"/>
      <c r="K989" s="37"/>
      <c r="L989" s="37"/>
      <c r="M989" s="37"/>
      <c r="O989" s="39"/>
      <c r="P989" s="37"/>
    </row>
    <row r="990" spans="4:16">
      <c r="D990" s="596"/>
      <c r="G990" s="37"/>
      <c r="H990" s="37"/>
      <c r="I990" s="37"/>
      <c r="J990" s="37"/>
      <c r="K990" s="37"/>
      <c r="L990" s="37"/>
      <c r="M990" s="37"/>
      <c r="O990" s="39"/>
      <c r="P990" s="37"/>
    </row>
    <row r="991" spans="4:16">
      <c r="D991" s="596"/>
      <c r="G991" s="37"/>
      <c r="H991" s="37"/>
      <c r="I991" s="37"/>
      <c r="J991" s="37"/>
      <c r="K991" s="37"/>
      <c r="L991" s="37"/>
      <c r="M991" s="37"/>
      <c r="O991" s="39"/>
      <c r="P991" s="37"/>
    </row>
    <row r="992" spans="4:16">
      <c r="D992" s="596"/>
      <c r="G992" s="37"/>
      <c r="H992" s="37"/>
      <c r="I992" s="37"/>
      <c r="J992" s="37"/>
      <c r="K992" s="37"/>
      <c r="L992" s="37"/>
      <c r="M992" s="37"/>
      <c r="O992" s="39"/>
      <c r="P992" s="37"/>
    </row>
    <row r="993" spans="4:16">
      <c r="D993" s="596"/>
      <c r="G993" s="37"/>
      <c r="H993" s="37"/>
      <c r="I993" s="37"/>
      <c r="J993" s="37"/>
      <c r="K993" s="37"/>
      <c r="L993" s="37"/>
      <c r="M993" s="37"/>
      <c r="O993" s="39"/>
      <c r="P993" s="37"/>
    </row>
    <row r="994" spans="4:16">
      <c r="D994" s="596"/>
      <c r="G994" s="37"/>
      <c r="H994" s="37"/>
      <c r="I994" s="37"/>
      <c r="J994" s="37"/>
      <c r="K994" s="37"/>
      <c r="L994" s="37"/>
      <c r="M994" s="37"/>
      <c r="O994" s="39"/>
      <c r="P994" s="37"/>
    </row>
    <row r="995" spans="4:16">
      <c r="D995" s="596"/>
      <c r="G995" s="37"/>
      <c r="H995" s="37"/>
      <c r="I995" s="37"/>
      <c r="J995" s="37"/>
      <c r="K995" s="37"/>
      <c r="L995" s="37"/>
      <c r="M995" s="37"/>
      <c r="O995" s="39"/>
      <c r="P995" s="37"/>
    </row>
    <row r="996" spans="4:16">
      <c r="D996" s="596"/>
      <c r="G996" s="37"/>
      <c r="H996" s="37"/>
      <c r="I996" s="37"/>
      <c r="J996" s="37"/>
      <c r="K996" s="37"/>
      <c r="L996" s="37"/>
      <c r="M996" s="37"/>
      <c r="O996" s="39"/>
      <c r="P996" s="37"/>
    </row>
    <row r="997" spans="4:16">
      <c r="D997" s="596"/>
      <c r="G997" s="37"/>
      <c r="H997" s="37"/>
      <c r="I997" s="37"/>
      <c r="J997" s="37"/>
      <c r="K997" s="37"/>
      <c r="L997" s="37"/>
      <c r="M997" s="37"/>
      <c r="O997" s="39"/>
      <c r="P997" s="37"/>
    </row>
    <row r="998" spans="4:16">
      <c r="D998" s="596"/>
      <c r="G998" s="37"/>
      <c r="H998" s="37"/>
      <c r="I998" s="37"/>
      <c r="J998" s="37"/>
      <c r="K998" s="37"/>
      <c r="L998" s="37"/>
      <c r="M998" s="37"/>
      <c r="O998" s="39"/>
      <c r="P998" s="37"/>
    </row>
    <row r="999" spans="4:16">
      <c r="D999" s="596"/>
      <c r="G999" s="37"/>
      <c r="H999" s="37"/>
      <c r="I999" s="37"/>
      <c r="J999" s="37"/>
      <c r="K999" s="37"/>
      <c r="L999" s="37"/>
      <c r="M999" s="37"/>
      <c r="O999" s="39"/>
      <c r="P999" s="37"/>
    </row>
    <row r="1000" spans="4:16">
      <c r="D1000" s="596"/>
      <c r="G1000" s="37"/>
      <c r="H1000" s="37"/>
      <c r="I1000" s="37"/>
      <c r="J1000" s="37"/>
      <c r="K1000" s="37"/>
      <c r="L1000" s="37"/>
      <c r="M1000" s="37"/>
      <c r="O1000" s="39"/>
      <c r="P1000" s="37"/>
    </row>
    <row r="1001" spans="4:16">
      <c r="D1001" s="596"/>
      <c r="G1001" s="37"/>
      <c r="H1001" s="37"/>
      <c r="I1001" s="37"/>
      <c r="J1001" s="37"/>
      <c r="K1001" s="37"/>
      <c r="L1001" s="37"/>
      <c r="M1001" s="37"/>
      <c r="O1001" s="39"/>
      <c r="P1001" s="37"/>
    </row>
    <row r="1002" spans="4:16">
      <c r="D1002" s="596"/>
      <c r="G1002" s="37"/>
      <c r="H1002" s="37"/>
      <c r="I1002" s="37"/>
      <c r="J1002" s="37"/>
      <c r="K1002" s="37"/>
      <c r="L1002" s="37"/>
      <c r="M1002" s="37"/>
      <c r="O1002" s="39"/>
      <c r="P1002" s="37"/>
    </row>
    <row r="1003" spans="4:16">
      <c r="D1003" s="596"/>
      <c r="G1003" s="37"/>
      <c r="H1003" s="37"/>
      <c r="I1003" s="37"/>
      <c r="J1003" s="37"/>
      <c r="K1003" s="37"/>
      <c r="L1003" s="37"/>
      <c r="M1003" s="37"/>
      <c r="O1003" s="39"/>
      <c r="P1003" s="37"/>
    </row>
    <row r="1004" spans="4:16">
      <c r="D1004" s="596"/>
      <c r="G1004" s="37"/>
      <c r="H1004" s="37"/>
      <c r="I1004" s="37"/>
      <c r="J1004" s="37"/>
      <c r="K1004" s="37"/>
      <c r="L1004" s="37"/>
      <c r="M1004" s="37"/>
      <c r="O1004" s="39"/>
      <c r="P1004" s="37"/>
    </row>
    <row r="1005" spans="4:16">
      <c r="D1005" s="596"/>
      <c r="G1005" s="37"/>
      <c r="H1005" s="37"/>
      <c r="I1005" s="37"/>
      <c r="J1005" s="37"/>
      <c r="K1005" s="37"/>
      <c r="L1005" s="37"/>
      <c r="M1005" s="37"/>
      <c r="O1005" s="39"/>
      <c r="P1005" s="37"/>
    </row>
    <row r="1006" spans="4:16">
      <c r="D1006" s="596"/>
      <c r="G1006" s="37"/>
      <c r="H1006" s="37"/>
      <c r="I1006" s="37"/>
      <c r="J1006" s="37"/>
      <c r="K1006" s="37"/>
      <c r="L1006" s="37"/>
      <c r="M1006" s="37"/>
      <c r="O1006" s="39"/>
      <c r="P1006" s="37"/>
    </row>
    <row r="1007" spans="4:16">
      <c r="D1007" s="596"/>
      <c r="G1007" s="37"/>
      <c r="H1007" s="37"/>
      <c r="I1007" s="37"/>
      <c r="J1007" s="37"/>
      <c r="K1007" s="37"/>
      <c r="L1007" s="37"/>
      <c r="M1007" s="37"/>
      <c r="O1007" s="39"/>
      <c r="P1007" s="37"/>
    </row>
    <row r="1008" spans="4:16">
      <c r="D1008" s="596"/>
      <c r="G1008" s="37"/>
      <c r="H1008" s="37"/>
      <c r="I1008" s="37"/>
      <c r="J1008" s="37"/>
      <c r="K1008" s="37"/>
      <c r="L1008" s="37"/>
      <c r="M1008" s="37"/>
      <c r="O1008" s="39"/>
      <c r="P1008" s="37"/>
    </row>
    <row r="1009" spans="4:16">
      <c r="D1009" s="596"/>
      <c r="G1009" s="37"/>
      <c r="H1009" s="37"/>
      <c r="I1009" s="37"/>
      <c r="J1009" s="37"/>
      <c r="K1009" s="37"/>
      <c r="L1009" s="37"/>
      <c r="M1009" s="37"/>
      <c r="O1009" s="39"/>
      <c r="P1009" s="37"/>
    </row>
    <row r="1010" spans="4:16">
      <c r="D1010" s="596"/>
      <c r="G1010" s="37"/>
      <c r="H1010" s="37"/>
      <c r="I1010" s="37"/>
      <c r="J1010" s="37"/>
      <c r="K1010" s="37"/>
      <c r="L1010" s="37"/>
      <c r="M1010" s="37"/>
      <c r="O1010" s="39"/>
      <c r="P1010" s="37"/>
    </row>
    <row r="1011" spans="4:16">
      <c r="D1011" s="596"/>
      <c r="G1011" s="37"/>
      <c r="H1011" s="37"/>
      <c r="I1011" s="37"/>
      <c r="J1011" s="37"/>
      <c r="K1011" s="37"/>
      <c r="L1011" s="37"/>
      <c r="M1011" s="37"/>
      <c r="O1011" s="39"/>
      <c r="P1011" s="37"/>
    </row>
    <row r="1012" spans="4:16">
      <c r="D1012" s="596"/>
      <c r="G1012" s="37"/>
      <c r="H1012" s="37"/>
      <c r="I1012" s="37"/>
      <c r="J1012" s="37"/>
      <c r="K1012" s="37"/>
      <c r="L1012" s="37"/>
      <c r="M1012" s="37"/>
      <c r="O1012" s="39"/>
      <c r="P1012" s="37"/>
    </row>
    <row r="1013" spans="4:16">
      <c r="D1013" s="596"/>
      <c r="G1013" s="37"/>
      <c r="H1013" s="37"/>
      <c r="I1013" s="37"/>
      <c r="J1013" s="37"/>
      <c r="K1013" s="37"/>
      <c r="L1013" s="37"/>
      <c r="M1013" s="37"/>
      <c r="O1013" s="39"/>
      <c r="P1013" s="37"/>
    </row>
    <row r="1014" spans="4:16">
      <c r="D1014" s="596"/>
      <c r="G1014" s="37"/>
      <c r="H1014" s="37"/>
      <c r="I1014" s="37"/>
      <c r="J1014" s="37"/>
      <c r="K1014" s="37"/>
      <c r="L1014" s="37"/>
      <c r="M1014" s="37"/>
      <c r="O1014" s="39"/>
      <c r="P1014" s="37"/>
    </row>
    <row r="1015" spans="4:16">
      <c r="D1015" s="596"/>
      <c r="G1015" s="37"/>
      <c r="H1015" s="37"/>
      <c r="I1015" s="37"/>
      <c r="J1015" s="37"/>
      <c r="K1015" s="37"/>
      <c r="L1015" s="37"/>
      <c r="M1015" s="37"/>
      <c r="O1015" s="39"/>
      <c r="P1015" s="37"/>
    </row>
    <row r="1016" spans="4:16">
      <c r="D1016" s="596"/>
      <c r="G1016" s="37"/>
      <c r="H1016" s="37"/>
      <c r="I1016" s="37"/>
      <c r="J1016" s="37"/>
      <c r="K1016" s="37"/>
      <c r="L1016" s="37"/>
      <c r="M1016" s="37"/>
      <c r="O1016" s="39"/>
      <c r="P1016" s="37"/>
    </row>
    <row r="1017" spans="4:16">
      <c r="D1017" s="596"/>
      <c r="G1017" s="37"/>
      <c r="H1017" s="37"/>
      <c r="I1017" s="37"/>
      <c r="J1017" s="37"/>
      <c r="K1017" s="37"/>
      <c r="L1017" s="37"/>
      <c r="M1017" s="37"/>
      <c r="O1017" s="39"/>
      <c r="P1017" s="37"/>
    </row>
    <row r="1018" spans="4:16">
      <c r="D1018" s="596"/>
      <c r="G1018" s="37"/>
      <c r="H1018" s="37"/>
      <c r="I1018" s="37"/>
      <c r="J1018" s="37"/>
      <c r="K1018" s="37"/>
      <c r="L1018" s="37"/>
      <c r="M1018" s="37"/>
      <c r="O1018" s="39"/>
      <c r="P1018" s="37"/>
    </row>
    <row r="1019" spans="4:16">
      <c r="D1019" s="596"/>
      <c r="G1019" s="37"/>
      <c r="H1019" s="37"/>
      <c r="I1019" s="37"/>
      <c r="J1019" s="37"/>
      <c r="K1019" s="37"/>
      <c r="L1019" s="37"/>
      <c r="M1019" s="37"/>
      <c r="O1019" s="39"/>
      <c r="P1019" s="37"/>
    </row>
    <row r="1020" spans="4:16">
      <c r="D1020" s="596"/>
      <c r="G1020" s="37"/>
      <c r="H1020" s="37"/>
      <c r="I1020" s="37"/>
      <c r="J1020" s="37"/>
      <c r="K1020" s="37"/>
      <c r="L1020" s="37"/>
      <c r="M1020" s="37"/>
      <c r="O1020" s="39"/>
      <c r="P1020" s="37"/>
    </row>
    <row r="1021" spans="4:16">
      <c r="D1021" s="596"/>
      <c r="G1021" s="37"/>
      <c r="H1021" s="37"/>
      <c r="I1021" s="37"/>
      <c r="J1021" s="37"/>
      <c r="K1021" s="37"/>
      <c r="L1021" s="37"/>
      <c r="M1021" s="37"/>
      <c r="O1021" s="39"/>
      <c r="P1021" s="37"/>
    </row>
    <row r="1022" spans="4:16">
      <c r="D1022" s="596"/>
      <c r="G1022" s="37"/>
      <c r="H1022" s="37"/>
      <c r="I1022" s="37"/>
      <c r="J1022" s="37"/>
      <c r="K1022" s="37"/>
      <c r="L1022" s="37"/>
      <c r="M1022" s="37"/>
      <c r="O1022" s="39"/>
      <c r="P1022" s="37"/>
    </row>
    <row r="1023" spans="4:16">
      <c r="D1023" s="596"/>
      <c r="G1023" s="37"/>
      <c r="H1023" s="37"/>
      <c r="I1023" s="37"/>
      <c r="J1023" s="37"/>
      <c r="K1023" s="37"/>
      <c r="L1023" s="37"/>
      <c r="M1023" s="37"/>
      <c r="O1023" s="39"/>
      <c r="P1023" s="37"/>
    </row>
    <row r="1024" spans="4:16">
      <c r="D1024" s="596"/>
      <c r="G1024" s="37"/>
      <c r="H1024" s="37"/>
      <c r="I1024" s="37"/>
      <c r="J1024" s="37"/>
      <c r="K1024" s="37"/>
      <c r="L1024" s="37"/>
      <c r="M1024" s="37"/>
      <c r="O1024" s="39"/>
      <c r="P1024" s="37"/>
    </row>
    <row r="1025" spans="4:16">
      <c r="D1025" s="596"/>
      <c r="G1025" s="37"/>
      <c r="H1025" s="37"/>
      <c r="I1025" s="37"/>
      <c r="J1025" s="37"/>
      <c r="K1025" s="37"/>
      <c r="L1025" s="37"/>
      <c r="M1025" s="37"/>
      <c r="O1025" s="39"/>
      <c r="P1025" s="37"/>
    </row>
    <row r="1026" spans="4:16">
      <c r="D1026" s="596"/>
      <c r="G1026" s="37"/>
      <c r="H1026" s="37"/>
      <c r="I1026" s="37"/>
      <c r="J1026" s="37"/>
      <c r="K1026" s="37"/>
      <c r="L1026" s="37"/>
      <c r="M1026" s="37"/>
      <c r="O1026" s="39"/>
      <c r="P1026" s="37"/>
    </row>
    <row r="1027" spans="4:16">
      <c r="D1027" s="596"/>
      <c r="G1027" s="37"/>
      <c r="H1027" s="37"/>
      <c r="I1027" s="37"/>
      <c r="J1027" s="37"/>
      <c r="K1027" s="37"/>
      <c r="L1027" s="37"/>
      <c r="M1027" s="37"/>
      <c r="O1027" s="39"/>
      <c r="P1027" s="37"/>
    </row>
    <row r="1028" spans="4:16">
      <c r="D1028" s="596"/>
      <c r="G1028" s="37"/>
      <c r="H1028" s="37"/>
      <c r="I1028" s="37"/>
      <c r="J1028" s="37"/>
      <c r="K1028" s="37"/>
      <c r="L1028" s="37"/>
      <c r="M1028" s="37"/>
      <c r="O1028" s="39"/>
      <c r="P1028" s="37"/>
    </row>
    <row r="1029" spans="4:16">
      <c r="D1029" s="596"/>
      <c r="G1029" s="37"/>
      <c r="H1029" s="37"/>
      <c r="I1029" s="37"/>
      <c r="J1029" s="37"/>
      <c r="K1029" s="37"/>
      <c r="L1029" s="37"/>
      <c r="M1029" s="37"/>
      <c r="O1029" s="39"/>
      <c r="P1029" s="37"/>
    </row>
    <row r="1030" spans="4:16">
      <c r="D1030" s="596"/>
      <c r="G1030" s="37"/>
      <c r="H1030" s="37"/>
      <c r="I1030" s="37"/>
      <c r="J1030" s="37"/>
      <c r="K1030" s="37"/>
      <c r="L1030" s="37"/>
      <c r="M1030" s="37"/>
      <c r="O1030" s="39"/>
      <c r="P1030" s="37"/>
    </row>
    <row r="1031" spans="4:16">
      <c r="D1031" s="596"/>
      <c r="G1031" s="37"/>
      <c r="H1031" s="37"/>
      <c r="I1031" s="37"/>
      <c r="J1031" s="37"/>
      <c r="K1031" s="37"/>
      <c r="L1031" s="37"/>
      <c r="M1031" s="37"/>
      <c r="O1031" s="39"/>
      <c r="P1031" s="37"/>
    </row>
    <row r="1032" spans="4:16">
      <c r="D1032" s="596"/>
      <c r="G1032" s="37"/>
      <c r="H1032" s="37"/>
      <c r="I1032" s="37"/>
      <c r="J1032" s="37"/>
      <c r="K1032" s="37"/>
      <c r="L1032" s="37"/>
      <c r="M1032" s="37"/>
      <c r="O1032" s="39"/>
      <c r="P1032" s="37"/>
    </row>
    <row r="1033" spans="4:16">
      <c r="D1033" s="596"/>
      <c r="G1033" s="37"/>
      <c r="H1033" s="37"/>
      <c r="I1033" s="37"/>
      <c r="J1033" s="37"/>
      <c r="K1033" s="37"/>
      <c r="L1033" s="37"/>
      <c r="M1033" s="37"/>
      <c r="O1033" s="39"/>
      <c r="P1033" s="37"/>
    </row>
    <row r="1034" spans="4:16">
      <c r="D1034" s="596"/>
      <c r="G1034" s="37"/>
      <c r="H1034" s="37"/>
      <c r="I1034" s="37"/>
      <c r="J1034" s="37"/>
      <c r="K1034" s="37"/>
      <c r="L1034" s="37"/>
      <c r="M1034" s="37"/>
      <c r="O1034" s="39"/>
      <c r="P1034" s="37"/>
    </row>
    <row r="1035" spans="4:16">
      <c r="D1035" s="596"/>
      <c r="G1035" s="37"/>
      <c r="H1035" s="37"/>
      <c r="I1035" s="37"/>
      <c r="J1035" s="37"/>
      <c r="K1035" s="37"/>
      <c r="L1035" s="37"/>
      <c r="M1035" s="37"/>
      <c r="O1035" s="39"/>
      <c r="P1035" s="37"/>
    </row>
    <row r="1036" spans="4:16">
      <c r="D1036" s="596"/>
      <c r="G1036" s="37"/>
      <c r="H1036" s="37"/>
      <c r="I1036" s="37"/>
      <c r="J1036" s="37"/>
      <c r="K1036" s="37"/>
      <c r="L1036" s="37"/>
      <c r="M1036" s="37"/>
      <c r="O1036" s="39"/>
      <c r="P1036" s="37"/>
    </row>
    <row r="1037" spans="4:16">
      <c r="D1037" s="596"/>
      <c r="G1037" s="37"/>
      <c r="H1037" s="37"/>
      <c r="I1037" s="37"/>
      <c r="J1037" s="37"/>
      <c r="K1037" s="37"/>
      <c r="L1037" s="37"/>
      <c r="M1037" s="37"/>
      <c r="O1037" s="39"/>
      <c r="P1037" s="37"/>
    </row>
    <row r="1038" spans="4:16">
      <c r="D1038" s="596"/>
      <c r="G1038" s="37"/>
      <c r="H1038" s="37"/>
      <c r="I1038" s="37"/>
      <c r="J1038" s="37"/>
      <c r="K1038" s="37"/>
      <c r="L1038" s="37"/>
      <c r="M1038" s="37"/>
      <c r="O1038" s="39"/>
      <c r="P1038" s="37"/>
    </row>
    <row r="1039" spans="4:16">
      <c r="D1039" s="596"/>
      <c r="G1039" s="37"/>
      <c r="H1039" s="37"/>
      <c r="I1039" s="37"/>
      <c r="J1039" s="37"/>
      <c r="K1039" s="37"/>
      <c r="L1039" s="37"/>
      <c r="M1039" s="37"/>
      <c r="O1039" s="39"/>
      <c r="P1039" s="37"/>
    </row>
    <row r="1040" spans="4:16">
      <c r="D1040" s="596"/>
      <c r="G1040" s="37"/>
      <c r="H1040" s="37"/>
      <c r="I1040" s="37"/>
      <c r="J1040" s="37"/>
      <c r="K1040" s="37"/>
      <c r="L1040" s="37"/>
      <c r="M1040" s="37"/>
      <c r="O1040" s="39"/>
      <c r="P1040" s="37"/>
    </row>
    <row r="1041" spans="4:16">
      <c r="D1041" s="596"/>
      <c r="G1041" s="37"/>
      <c r="H1041" s="37"/>
      <c r="I1041" s="37"/>
      <c r="J1041" s="37"/>
      <c r="K1041" s="37"/>
      <c r="L1041" s="37"/>
      <c r="M1041" s="37"/>
      <c r="O1041" s="39"/>
      <c r="P1041" s="37"/>
    </row>
    <row r="1042" spans="4:16">
      <c r="D1042" s="596"/>
      <c r="G1042" s="37"/>
      <c r="H1042" s="37"/>
      <c r="I1042" s="37"/>
      <c r="J1042" s="37"/>
      <c r="K1042" s="37"/>
      <c r="L1042" s="37"/>
      <c r="M1042" s="37"/>
      <c r="O1042" s="39"/>
      <c r="P1042" s="37"/>
    </row>
    <row r="1043" spans="4:16">
      <c r="D1043" s="596"/>
      <c r="G1043" s="37"/>
      <c r="H1043" s="37"/>
      <c r="I1043" s="37"/>
      <c r="J1043" s="37"/>
      <c r="K1043" s="37"/>
      <c r="L1043" s="37"/>
      <c r="M1043" s="37"/>
      <c r="O1043" s="39"/>
      <c r="P1043" s="37"/>
    </row>
    <row r="1044" spans="4:16">
      <c r="D1044" s="596"/>
      <c r="G1044" s="37"/>
      <c r="H1044" s="37"/>
      <c r="I1044" s="37"/>
      <c r="J1044" s="37"/>
      <c r="K1044" s="37"/>
      <c r="L1044" s="37"/>
      <c r="M1044" s="37"/>
      <c r="O1044" s="39"/>
      <c r="P1044" s="37"/>
    </row>
    <row r="1045" spans="4:16">
      <c r="D1045" s="596"/>
      <c r="G1045" s="37"/>
      <c r="H1045" s="37"/>
      <c r="I1045" s="37"/>
      <c r="J1045" s="37"/>
      <c r="K1045" s="37"/>
      <c r="L1045" s="37"/>
      <c r="M1045" s="37"/>
      <c r="O1045" s="39"/>
      <c r="P1045" s="37"/>
    </row>
    <row r="1046" spans="4:16">
      <c r="D1046" s="596"/>
      <c r="G1046" s="37"/>
      <c r="H1046" s="37"/>
      <c r="I1046" s="37"/>
      <c r="J1046" s="37"/>
      <c r="K1046" s="37"/>
      <c r="L1046" s="37"/>
      <c r="M1046" s="37"/>
      <c r="O1046" s="39"/>
      <c r="P1046" s="37"/>
    </row>
    <row r="1047" spans="4:16">
      <c r="D1047" s="596"/>
      <c r="G1047" s="37"/>
      <c r="H1047" s="37"/>
      <c r="I1047" s="37"/>
      <c r="J1047" s="37"/>
      <c r="K1047" s="37"/>
      <c r="L1047" s="37"/>
      <c r="M1047" s="37"/>
      <c r="O1047" s="39"/>
      <c r="P1047" s="37"/>
    </row>
    <row r="1048" spans="4:16">
      <c r="D1048" s="596"/>
      <c r="G1048" s="37"/>
      <c r="H1048" s="37"/>
      <c r="I1048" s="37"/>
      <c r="J1048" s="37"/>
      <c r="K1048" s="37"/>
      <c r="L1048" s="37"/>
      <c r="M1048" s="37"/>
      <c r="O1048" s="39"/>
      <c r="P1048" s="37"/>
    </row>
    <row r="1049" spans="4:16">
      <c r="D1049" s="596"/>
      <c r="G1049" s="37"/>
      <c r="H1049" s="37"/>
      <c r="I1049" s="37"/>
      <c r="J1049" s="37"/>
      <c r="K1049" s="37"/>
      <c r="L1049" s="37"/>
      <c r="M1049" s="37"/>
      <c r="O1049" s="39"/>
      <c r="P1049" s="37"/>
    </row>
    <row r="1050" spans="4:16">
      <c r="D1050" s="596"/>
      <c r="G1050" s="37"/>
      <c r="H1050" s="37"/>
      <c r="I1050" s="37"/>
      <c r="J1050" s="37"/>
      <c r="K1050" s="37"/>
      <c r="L1050" s="37"/>
      <c r="M1050" s="37"/>
      <c r="O1050" s="39"/>
      <c r="P1050" s="37"/>
    </row>
    <row r="1051" spans="4:16">
      <c r="D1051" s="596"/>
      <c r="G1051" s="37"/>
      <c r="H1051" s="37"/>
      <c r="I1051" s="37"/>
      <c r="J1051" s="37"/>
      <c r="K1051" s="37"/>
      <c r="L1051" s="37"/>
      <c r="M1051" s="37"/>
      <c r="O1051" s="39"/>
      <c r="P1051" s="37"/>
    </row>
    <row r="1052" spans="4:16">
      <c r="D1052" s="596"/>
      <c r="G1052" s="37"/>
      <c r="H1052" s="37"/>
      <c r="I1052" s="37"/>
      <c r="J1052" s="37"/>
      <c r="K1052" s="37"/>
      <c r="L1052" s="37"/>
      <c r="M1052" s="37"/>
      <c r="O1052" s="39"/>
      <c r="P1052" s="37"/>
    </row>
    <row r="1053" spans="4:16">
      <c r="D1053" s="596"/>
      <c r="G1053" s="37"/>
      <c r="H1053" s="37"/>
      <c r="I1053" s="37"/>
      <c r="J1053" s="37"/>
      <c r="K1053" s="37"/>
      <c r="L1053" s="37"/>
      <c r="M1053" s="37"/>
      <c r="O1053" s="39"/>
      <c r="P1053" s="37"/>
    </row>
    <row r="1054" spans="4:16">
      <c r="D1054" s="596"/>
      <c r="G1054" s="37"/>
      <c r="H1054" s="37"/>
      <c r="I1054" s="37"/>
      <c r="J1054" s="37"/>
      <c r="K1054" s="37"/>
      <c r="L1054" s="37"/>
      <c r="M1054" s="37"/>
      <c r="O1054" s="39"/>
      <c r="P1054" s="37"/>
    </row>
    <row r="1055" spans="4:16">
      <c r="D1055" s="596"/>
      <c r="G1055" s="37"/>
      <c r="H1055" s="37"/>
      <c r="I1055" s="37"/>
      <c r="J1055" s="37"/>
      <c r="K1055" s="37"/>
      <c r="L1055" s="37"/>
      <c r="M1055" s="37"/>
      <c r="O1055" s="39"/>
      <c r="P1055" s="37"/>
    </row>
    <row r="1056" spans="4:16">
      <c r="D1056" s="596"/>
      <c r="G1056" s="37"/>
      <c r="H1056" s="37"/>
      <c r="I1056" s="37"/>
      <c r="J1056" s="37"/>
      <c r="K1056" s="37"/>
      <c r="L1056" s="37"/>
      <c r="M1056" s="37"/>
      <c r="O1056" s="39"/>
      <c r="P1056" s="37"/>
    </row>
    <row r="1057" spans="4:16">
      <c r="D1057" s="596"/>
      <c r="G1057" s="37"/>
      <c r="H1057" s="37"/>
      <c r="I1057" s="37"/>
      <c r="J1057" s="37"/>
      <c r="K1057" s="37"/>
      <c r="L1057" s="37"/>
      <c r="M1057" s="37"/>
      <c r="O1057" s="39"/>
      <c r="P1057" s="37"/>
    </row>
    <row r="1058" spans="4:16">
      <c r="D1058" s="596"/>
      <c r="G1058" s="37"/>
      <c r="H1058" s="37"/>
      <c r="I1058" s="37"/>
      <c r="J1058" s="37"/>
      <c r="K1058" s="37"/>
      <c r="L1058" s="37"/>
      <c r="M1058" s="37"/>
      <c r="O1058" s="39"/>
      <c r="P1058" s="37"/>
    </row>
    <row r="1059" spans="4:16">
      <c r="D1059" s="596"/>
      <c r="G1059" s="37"/>
      <c r="H1059" s="37"/>
      <c r="I1059" s="37"/>
      <c r="J1059" s="37"/>
      <c r="K1059" s="37"/>
      <c r="L1059" s="37"/>
      <c r="M1059" s="37"/>
      <c r="O1059" s="39"/>
      <c r="P1059" s="37"/>
    </row>
    <row r="1060" spans="4:16">
      <c r="D1060" s="596"/>
      <c r="G1060" s="37"/>
      <c r="H1060" s="37"/>
      <c r="I1060" s="37"/>
      <c r="J1060" s="37"/>
      <c r="K1060" s="37"/>
      <c r="L1060" s="37"/>
      <c r="M1060" s="37"/>
      <c r="O1060" s="39"/>
      <c r="P1060" s="37"/>
    </row>
    <row r="1061" spans="4:16">
      <c r="D1061" s="596"/>
      <c r="G1061" s="37"/>
      <c r="H1061" s="37"/>
      <c r="I1061" s="37"/>
      <c r="J1061" s="37"/>
      <c r="K1061" s="37"/>
      <c r="L1061" s="37"/>
      <c r="M1061" s="37"/>
      <c r="O1061" s="39"/>
      <c r="P1061" s="37"/>
    </row>
    <row r="1062" spans="4:16">
      <c r="D1062" s="596"/>
      <c r="G1062" s="37"/>
      <c r="H1062" s="37"/>
      <c r="I1062" s="37"/>
      <c r="J1062" s="37"/>
      <c r="K1062" s="37"/>
      <c r="L1062" s="37"/>
      <c r="M1062" s="37"/>
      <c r="O1062" s="39"/>
      <c r="P1062" s="37"/>
    </row>
    <row r="1063" spans="4:16">
      <c r="D1063" s="596"/>
      <c r="G1063" s="37"/>
      <c r="H1063" s="37"/>
      <c r="I1063" s="37"/>
      <c r="J1063" s="37"/>
      <c r="K1063" s="37"/>
      <c r="L1063" s="37"/>
      <c r="M1063" s="37"/>
      <c r="O1063" s="39"/>
      <c r="P1063" s="37"/>
    </row>
    <row r="1064" spans="4:16">
      <c r="D1064" s="596"/>
      <c r="G1064" s="37"/>
      <c r="H1064" s="37"/>
      <c r="I1064" s="37"/>
      <c r="J1064" s="37"/>
      <c r="K1064" s="37"/>
      <c r="L1064" s="37"/>
      <c r="M1064" s="37"/>
      <c r="O1064" s="39"/>
      <c r="P1064" s="37"/>
    </row>
    <row r="1065" spans="4:16">
      <c r="D1065" s="596"/>
      <c r="G1065" s="37"/>
      <c r="H1065" s="37"/>
      <c r="I1065" s="37"/>
      <c r="J1065" s="37"/>
      <c r="K1065" s="37"/>
      <c r="L1065" s="37"/>
      <c r="M1065" s="37"/>
      <c r="O1065" s="39"/>
      <c r="P1065" s="37"/>
    </row>
    <row r="1066" spans="4:16">
      <c r="D1066" s="596"/>
      <c r="G1066" s="37"/>
      <c r="H1066" s="37"/>
      <c r="I1066" s="37"/>
      <c r="J1066" s="37"/>
      <c r="K1066" s="37"/>
      <c r="L1066" s="37"/>
      <c r="M1066" s="37"/>
      <c r="O1066" s="39"/>
      <c r="P1066" s="37"/>
    </row>
    <row r="1067" spans="4:16">
      <c r="D1067" s="596"/>
      <c r="G1067" s="37"/>
      <c r="H1067" s="37"/>
      <c r="I1067" s="37"/>
      <c r="J1067" s="37"/>
      <c r="K1067" s="37"/>
      <c r="L1067" s="37"/>
      <c r="M1067" s="37"/>
      <c r="O1067" s="39"/>
      <c r="P1067" s="37"/>
    </row>
    <row r="1068" spans="4:16">
      <c r="D1068" s="596"/>
      <c r="G1068" s="37"/>
      <c r="H1068" s="37"/>
      <c r="I1068" s="37"/>
      <c r="J1068" s="37"/>
      <c r="K1068" s="37"/>
      <c r="L1068" s="37"/>
      <c r="M1068" s="37"/>
      <c r="O1068" s="39"/>
      <c r="P1068" s="37"/>
    </row>
    <row r="1069" spans="4:16">
      <c r="D1069" s="596"/>
      <c r="G1069" s="37"/>
      <c r="H1069" s="37"/>
      <c r="I1069" s="37"/>
      <c r="J1069" s="37"/>
      <c r="K1069" s="37"/>
      <c r="L1069" s="37"/>
      <c r="M1069" s="37"/>
      <c r="O1069" s="39"/>
      <c r="P1069" s="37"/>
    </row>
    <row r="1070" spans="4:16">
      <c r="D1070" s="596"/>
      <c r="G1070" s="37"/>
      <c r="H1070" s="37"/>
      <c r="I1070" s="37"/>
      <c r="J1070" s="37"/>
      <c r="K1070" s="37"/>
      <c r="L1070" s="37"/>
      <c r="M1070" s="37"/>
      <c r="O1070" s="39"/>
      <c r="P1070" s="37"/>
    </row>
    <row r="1071" spans="4:16">
      <c r="D1071" s="596"/>
      <c r="G1071" s="37"/>
      <c r="H1071" s="37"/>
      <c r="I1071" s="37"/>
      <c r="J1071" s="37"/>
      <c r="K1071" s="37"/>
      <c r="L1071" s="37"/>
      <c r="M1071" s="37"/>
      <c r="O1071" s="39"/>
      <c r="P1071" s="37"/>
    </row>
    <row r="1072" spans="4:16">
      <c r="D1072" s="596"/>
      <c r="G1072" s="37"/>
      <c r="H1072" s="37"/>
      <c r="I1072" s="37"/>
      <c r="J1072" s="37"/>
      <c r="K1072" s="37"/>
      <c r="L1072" s="37"/>
      <c r="M1072" s="37"/>
      <c r="O1072" s="39"/>
      <c r="P1072" s="37"/>
    </row>
    <row r="1073" spans="4:16">
      <c r="D1073" s="596"/>
      <c r="G1073" s="37"/>
      <c r="H1073" s="37"/>
      <c r="I1073" s="37"/>
      <c r="J1073" s="37"/>
      <c r="K1073" s="37"/>
      <c r="L1073" s="37"/>
      <c r="M1073" s="37"/>
      <c r="O1073" s="39"/>
      <c r="P1073" s="37"/>
    </row>
    <row r="1074" spans="4:16">
      <c r="D1074" s="596"/>
      <c r="G1074" s="37"/>
      <c r="H1074" s="37"/>
      <c r="I1074" s="37"/>
      <c r="J1074" s="37"/>
      <c r="K1074" s="37"/>
      <c r="L1074" s="37"/>
      <c r="M1074" s="37"/>
      <c r="O1074" s="39"/>
      <c r="P1074" s="37"/>
    </row>
    <row r="1075" spans="4:16">
      <c r="D1075" s="596"/>
      <c r="G1075" s="37"/>
      <c r="H1075" s="37"/>
      <c r="I1075" s="37"/>
      <c r="J1075" s="37"/>
      <c r="K1075" s="37"/>
      <c r="L1075" s="37"/>
      <c r="M1075" s="37"/>
      <c r="O1075" s="39"/>
      <c r="P1075" s="37"/>
    </row>
    <row r="1076" spans="4:16">
      <c r="D1076" s="596"/>
      <c r="G1076" s="37"/>
      <c r="H1076" s="37"/>
      <c r="I1076" s="37"/>
      <c r="J1076" s="37"/>
      <c r="K1076" s="37"/>
      <c r="L1076" s="37"/>
      <c r="M1076" s="37"/>
      <c r="O1076" s="39"/>
      <c r="P1076" s="37"/>
    </row>
    <row r="1077" spans="4:16">
      <c r="D1077" s="596"/>
      <c r="G1077" s="37"/>
      <c r="H1077" s="37"/>
      <c r="I1077" s="37"/>
      <c r="J1077" s="37"/>
      <c r="K1077" s="37"/>
      <c r="L1077" s="37"/>
      <c r="M1077" s="37"/>
      <c r="O1077" s="39"/>
      <c r="P1077" s="37"/>
    </row>
    <row r="1078" spans="4:16">
      <c r="D1078" s="596"/>
      <c r="G1078" s="37"/>
      <c r="H1078" s="37"/>
      <c r="I1078" s="37"/>
      <c r="J1078" s="37"/>
      <c r="K1078" s="37"/>
      <c r="L1078" s="37"/>
      <c r="M1078" s="37"/>
      <c r="O1078" s="39"/>
      <c r="P1078" s="37"/>
    </row>
    <row r="1079" spans="4:16">
      <c r="D1079" s="596"/>
      <c r="G1079" s="37"/>
      <c r="H1079" s="37"/>
      <c r="I1079" s="37"/>
      <c r="J1079" s="37"/>
      <c r="K1079" s="37"/>
      <c r="L1079" s="37"/>
      <c r="M1079" s="37"/>
      <c r="O1079" s="39"/>
      <c r="P1079" s="37"/>
    </row>
    <row r="1080" spans="4:16">
      <c r="D1080" s="596"/>
      <c r="G1080" s="37"/>
      <c r="H1080" s="37"/>
      <c r="I1080" s="37"/>
      <c r="J1080" s="37"/>
      <c r="K1080" s="37"/>
      <c r="L1080" s="37"/>
      <c r="M1080" s="37"/>
      <c r="O1080" s="39"/>
      <c r="P1080" s="37"/>
    </row>
    <row r="1081" spans="4:16">
      <c r="D1081" s="596"/>
      <c r="G1081" s="37"/>
      <c r="H1081" s="37"/>
      <c r="I1081" s="37"/>
      <c r="J1081" s="37"/>
      <c r="K1081" s="37"/>
      <c r="L1081" s="37"/>
      <c r="M1081" s="37"/>
      <c r="O1081" s="39"/>
      <c r="P1081" s="37"/>
    </row>
    <row r="1082" spans="4:16">
      <c r="D1082" s="596"/>
      <c r="G1082" s="37"/>
      <c r="H1082" s="37"/>
      <c r="I1082" s="37"/>
      <c r="J1082" s="37"/>
      <c r="K1082" s="37"/>
      <c r="L1082" s="37"/>
      <c r="M1082" s="37"/>
      <c r="O1082" s="39"/>
      <c r="P1082" s="37"/>
    </row>
    <row r="1083" spans="4:16">
      <c r="D1083" s="596"/>
      <c r="G1083" s="37"/>
      <c r="H1083" s="37"/>
      <c r="I1083" s="37"/>
      <c r="J1083" s="37"/>
      <c r="K1083" s="37"/>
      <c r="L1083" s="37"/>
      <c r="M1083" s="37"/>
      <c r="O1083" s="39"/>
      <c r="P1083" s="37"/>
    </row>
    <row r="1084" spans="4:16">
      <c r="D1084" s="596"/>
      <c r="G1084" s="37"/>
      <c r="H1084" s="37"/>
      <c r="I1084" s="37"/>
      <c r="J1084" s="37"/>
      <c r="K1084" s="37"/>
      <c r="L1084" s="37"/>
      <c r="M1084" s="37"/>
      <c r="O1084" s="39"/>
      <c r="P1084" s="37"/>
    </row>
    <row r="1085" spans="4:16">
      <c r="D1085" s="596"/>
      <c r="G1085" s="37"/>
      <c r="H1085" s="37"/>
      <c r="I1085" s="37"/>
      <c r="J1085" s="37"/>
      <c r="K1085" s="37"/>
      <c r="L1085" s="37"/>
      <c r="M1085" s="37"/>
      <c r="O1085" s="39"/>
      <c r="P1085" s="37"/>
    </row>
    <row r="1086" spans="4:16">
      <c r="D1086" s="596"/>
      <c r="G1086" s="37"/>
      <c r="H1086" s="37"/>
      <c r="I1086" s="37"/>
      <c r="J1086" s="37"/>
      <c r="K1086" s="37"/>
      <c r="L1086" s="37"/>
      <c r="M1086" s="37"/>
      <c r="O1086" s="39"/>
      <c r="P1086" s="37"/>
    </row>
    <row r="1087" spans="4:16">
      <c r="D1087" s="596"/>
      <c r="G1087" s="37"/>
      <c r="H1087" s="37"/>
      <c r="I1087" s="37"/>
      <c r="J1087" s="37"/>
      <c r="K1087" s="37"/>
      <c r="L1087" s="37"/>
      <c r="M1087" s="37"/>
      <c r="O1087" s="39"/>
      <c r="P1087" s="37"/>
    </row>
    <row r="1088" spans="4:16">
      <c r="D1088" s="596"/>
      <c r="G1088" s="37"/>
      <c r="H1088" s="37"/>
      <c r="I1088" s="37"/>
      <c r="J1088" s="37"/>
      <c r="K1088" s="37"/>
      <c r="L1088" s="37"/>
      <c r="M1088" s="37"/>
      <c r="O1088" s="39"/>
      <c r="P1088" s="37"/>
    </row>
    <row r="1089" spans="4:16">
      <c r="D1089" s="596"/>
      <c r="G1089" s="37"/>
      <c r="H1089" s="37"/>
      <c r="I1089" s="37"/>
      <c r="J1089" s="37"/>
      <c r="K1089" s="37"/>
      <c r="L1089" s="37"/>
      <c r="M1089" s="37"/>
      <c r="O1089" s="39"/>
      <c r="P1089" s="37"/>
    </row>
    <row r="1090" spans="4:16">
      <c r="D1090" s="596"/>
      <c r="G1090" s="37"/>
      <c r="H1090" s="37"/>
      <c r="I1090" s="37"/>
      <c r="J1090" s="37"/>
      <c r="K1090" s="37"/>
      <c r="L1090" s="37"/>
      <c r="M1090" s="37"/>
      <c r="O1090" s="39"/>
      <c r="P1090" s="37"/>
    </row>
    <row r="1091" spans="4:16">
      <c r="D1091" s="596"/>
      <c r="G1091" s="37"/>
      <c r="H1091" s="37"/>
      <c r="I1091" s="37"/>
      <c r="J1091" s="37"/>
      <c r="K1091" s="37"/>
      <c r="L1091" s="37"/>
      <c r="M1091" s="37"/>
      <c r="O1091" s="39"/>
      <c r="P1091" s="37"/>
    </row>
    <row r="1092" spans="4:16">
      <c r="D1092" s="596"/>
      <c r="G1092" s="37"/>
      <c r="H1092" s="37"/>
      <c r="I1092" s="37"/>
      <c r="J1092" s="37"/>
      <c r="K1092" s="37"/>
      <c r="L1092" s="37"/>
      <c r="M1092" s="37"/>
      <c r="O1092" s="39"/>
      <c r="P1092" s="37"/>
    </row>
    <row r="1093" spans="4:16">
      <c r="D1093" s="596"/>
      <c r="G1093" s="37"/>
      <c r="H1093" s="37"/>
      <c r="I1093" s="37"/>
      <c r="J1093" s="37"/>
      <c r="K1093" s="37"/>
      <c r="L1093" s="37"/>
      <c r="M1093" s="37"/>
      <c r="O1093" s="39"/>
      <c r="P1093" s="37"/>
    </row>
    <row r="1094" spans="4:16">
      <c r="D1094" s="596"/>
      <c r="G1094" s="37"/>
      <c r="H1094" s="37"/>
      <c r="I1094" s="37"/>
      <c r="J1094" s="37"/>
      <c r="K1094" s="37"/>
      <c r="L1094" s="37"/>
      <c r="M1094" s="37"/>
      <c r="O1094" s="39"/>
      <c r="P1094" s="37"/>
    </row>
    <row r="1095" spans="4:16">
      <c r="D1095" s="596"/>
      <c r="G1095" s="37"/>
      <c r="H1095" s="37"/>
      <c r="I1095" s="37"/>
      <c r="J1095" s="37"/>
      <c r="K1095" s="37"/>
      <c r="L1095" s="37"/>
      <c r="M1095" s="37"/>
      <c r="O1095" s="39"/>
      <c r="P1095" s="37"/>
    </row>
    <row r="1096" spans="4:16">
      <c r="D1096" s="596"/>
      <c r="G1096" s="37"/>
      <c r="H1096" s="37"/>
      <c r="I1096" s="37"/>
      <c r="J1096" s="37"/>
      <c r="K1096" s="37"/>
      <c r="L1096" s="37"/>
      <c r="M1096" s="37"/>
      <c r="O1096" s="39"/>
      <c r="P1096" s="37"/>
    </row>
    <row r="1097" spans="4:16">
      <c r="D1097" s="596"/>
      <c r="G1097" s="37"/>
      <c r="H1097" s="37"/>
      <c r="I1097" s="37"/>
      <c r="J1097" s="37"/>
      <c r="K1097" s="37"/>
      <c r="L1097" s="37"/>
      <c r="M1097" s="37"/>
      <c r="O1097" s="39"/>
      <c r="P1097" s="37"/>
    </row>
    <row r="1098" spans="4:16">
      <c r="D1098" s="596"/>
      <c r="G1098" s="37"/>
      <c r="H1098" s="37"/>
      <c r="I1098" s="37"/>
      <c r="J1098" s="37"/>
      <c r="K1098" s="37"/>
      <c r="L1098" s="37"/>
      <c r="M1098" s="37"/>
      <c r="O1098" s="39"/>
      <c r="P1098" s="37"/>
    </row>
    <row r="1099" spans="4:16">
      <c r="D1099" s="596"/>
      <c r="G1099" s="37"/>
      <c r="H1099" s="37"/>
      <c r="I1099" s="37"/>
      <c r="J1099" s="37"/>
      <c r="K1099" s="37"/>
      <c r="L1099" s="37"/>
      <c r="M1099" s="37"/>
      <c r="O1099" s="39"/>
      <c r="P1099" s="37"/>
    </row>
    <row r="1100" spans="4:16">
      <c r="D1100" s="596"/>
      <c r="G1100" s="37"/>
      <c r="H1100" s="37"/>
      <c r="I1100" s="37"/>
      <c r="J1100" s="37"/>
      <c r="K1100" s="37"/>
      <c r="L1100" s="37"/>
      <c r="M1100" s="37"/>
      <c r="O1100" s="39"/>
      <c r="P1100" s="37"/>
    </row>
    <row r="1101" spans="4:16">
      <c r="D1101" s="596"/>
      <c r="G1101" s="37"/>
      <c r="H1101" s="37"/>
      <c r="I1101" s="37"/>
      <c r="J1101" s="37"/>
      <c r="K1101" s="37"/>
      <c r="L1101" s="37"/>
      <c r="M1101" s="37"/>
      <c r="O1101" s="39"/>
      <c r="P1101" s="37"/>
    </row>
    <row r="1102" spans="4:16">
      <c r="D1102" s="596"/>
      <c r="G1102" s="37"/>
      <c r="H1102" s="37"/>
      <c r="I1102" s="37"/>
      <c r="J1102" s="37"/>
      <c r="K1102" s="37"/>
      <c r="L1102" s="37"/>
      <c r="M1102" s="37"/>
      <c r="O1102" s="39"/>
      <c r="P1102" s="37"/>
    </row>
    <row r="1103" spans="4:16">
      <c r="D1103" s="596"/>
      <c r="G1103" s="37"/>
      <c r="H1103" s="37"/>
      <c r="I1103" s="37"/>
      <c r="J1103" s="37"/>
      <c r="K1103" s="37"/>
      <c r="L1103" s="37"/>
      <c r="M1103" s="37"/>
      <c r="O1103" s="39"/>
      <c r="P1103" s="37"/>
    </row>
    <row r="1104" spans="4:16">
      <c r="D1104" s="596"/>
      <c r="G1104" s="37"/>
      <c r="H1104" s="37"/>
      <c r="I1104" s="37"/>
      <c r="J1104" s="37"/>
      <c r="K1104" s="37"/>
      <c r="L1104" s="37"/>
      <c r="M1104" s="37"/>
      <c r="O1104" s="39"/>
      <c r="P1104" s="37"/>
    </row>
    <row r="1105" spans="4:16">
      <c r="D1105" s="596"/>
      <c r="G1105" s="37"/>
      <c r="H1105" s="37"/>
      <c r="I1105" s="37"/>
      <c r="J1105" s="37"/>
      <c r="K1105" s="37"/>
      <c r="L1105" s="37"/>
      <c r="M1105" s="37"/>
      <c r="O1105" s="39"/>
      <c r="P1105" s="37"/>
    </row>
    <row r="1106" spans="4:16">
      <c r="D1106" s="596"/>
      <c r="G1106" s="37"/>
      <c r="H1106" s="37"/>
      <c r="I1106" s="37"/>
      <c r="J1106" s="37"/>
      <c r="K1106" s="37"/>
      <c r="L1106" s="37"/>
      <c r="M1106" s="37"/>
      <c r="O1106" s="39"/>
      <c r="P1106" s="37"/>
    </row>
    <row r="1107" spans="4:16">
      <c r="D1107" s="596"/>
      <c r="G1107" s="37"/>
      <c r="H1107" s="37"/>
      <c r="I1107" s="37"/>
      <c r="J1107" s="37"/>
      <c r="K1107" s="37"/>
      <c r="L1107" s="37"/>
      <c r="M1107" s="37"/>
      <c r="O1107" s="39"/>
      <c r="P1107" s="37"/>
    </row>
    <row r="1108" spans="4:16">
      <c r="D1108" s="596"/>
      <c r="G1108" s="37"/>
      <c r="H1108" s="37"/>
      <c r="I1108" s="37"/>
      <c r="J1108" s="37"/>
      <c r="K1108" s="37"/>
      <c r="L1108" s="37"/>
      <c r="M1108" s="37"/>
      <c r="O1108" s="39"/>
      <c r="P1108" s="37"/>
    </row>
    <row r="1109" spans="4:16">
      <c r="D1109" s="596"/>
      <c r="G1109" s="37"/>
      <c r="H1109" s="37"/>
      <c r="I1109" s="37"/>
      <c r="J1109" s="37"/>
      <c r="K1109" s="37"/>
      <c r="L1109" s="37"/>
      <c r="M1109" s="37"/>
      <c r="O1109" s="39"/>
      <c r="P1109" s="37"/>
    </row>
    <row r="1110" spans="4:16">
      <c r="D1110" s="596"/>
      <c r="G1110" s="37"/>
      <c r="H1110" s="37"/>
      <c r="I1110" s="37"/>
      <c r="J1110" s="37"/>
      <c r="K1110" s="37"/>
      <c r="L1110" s="37"/>
      <c r="M1110" s="37"/>
      <c r="O1110" s="39"/>
      <c r="P1110" s="37"/>
    </row>
    <row r="1111" spans="4:16">
      <c r="D1111" s="596"/>
      <c r="G1111" s="37"/>
      <c r="H1111" s="37"/>
      <c r="I1111" s="37"/>
      <c r="J1111" s="37"/>
      <c r="K1111" s="37"/>
      <c r="L1111" s="37"/>
      <c r="M1111" s="37"/>
      <c r="O1111" s="39"/>
      <c r="P1111" s="37"/>
    </row>
    <row r="1112" spans="4:16">
      <c r="D1112" s="596"/>
      <c r="G1112" s="37"/>
      <c r="H1112" s="37"/>
      <c r="I1112" s="37"/>
      <c r="J1112" s="37"/>
      <c r="K1112" s="37"/>
      <c r="L1112" s="37"/>
      <c r="M1112" s="37"/>
      <c r="O1112" s="39"/>
      <c r="P1112" s="37"/>
    </row>
    <row r="1113" spans="4:16">
      <c r="D1113" s="596"/>
      <c r="G1113" s="37"/>
      <c r="H1113" s="37"/>
      <c r="I1113" s="37"/>
      <c r="J1113" s="37"/>
      <c r="K1113" s="37"/>
      <c r="L1113" s="37"/>
      <c r="M1113" s="37"/>
      <c r="O1113" s="39"/>
      <c r="P1113" s="37"/>
    </row>
    <row r="1114" spans="4:16">
      <c r="D1114" s="596"/>
      <c r="G1114" s="37"/>
      <c r="H1114" s="37"/>
      <c r="I1114" s="37"/>
      <c r="J1114" s="37"/>
      <c r="K1114" s="37"/>
      <c r="L1114" s="37"/>
      <c r="M1114" s="37"/>
      <c r="O1114" s="39"/>
      <c r="P1114" s="37"/>
    </row>
    <row r="1115" spans="4:16">
      <c r="D1115" s="596"/>
      <c r="G1115" s="37"/>
      <c r="H1115" s="37"/>
      <c r="I1115" s="37"/>
      <c r="J1115" s="37"/>
      <c r="K1115" s="37"/>
      <c r="L1115" s="37"/>
      <c r="M1115" s="37"/>
      <c r="O1115" s="39"/>
      <c r="P1115" s="37"/>
    </row>
    <row r="1116" spans="4:16">
      <c r="D1116" s="596"/>
      <c r="G1116" s="37"/>
      <c r="H1116" s="37"/>
      <c r="I1116" s="37"/>
      <c r="J1116" s="37"/>
      <c r="K1116" s="37"/>
      <c r="L1116" s="37"/>
      <c r="M1116" s="37"/>
      <c r="O1116" s="39"/>
      <c r="P1116" s="37"/>
    </row>
    <row r="1117" spans="4:16">
      <c r="D1117" s="596"/>
      <c r="G1117" s="37"/>
      <c r="H1117" s="37"/>
      <c r="I1117" s="37"/>
      <c r="J1117" s="37"/>
      <c r="K1117" s="37"/>
      <c r="L1117" s="37"/>
      <c r="M1117" s="37"/>
      <c r="O1117" s="39"/>
      <c r="P1117" s="37"/>
    </row>
    <row r="1118" spans="4:16">
      <c r="D1118" s="596"/>
      <c r="G1118" s="37"/>
      <c r="H1118" s="37"/>
      <c r="I1118" s="37"/>
      <c r="J1118" s="37"/>
      <c r="K1118" s="37"/>
      <c r="L1118" s="37"/>
      <c r="M1118" s="37"/>
      <c r="O1118" s="39"/>
      <c r="P1118" s="37"/>
    </row>
    <row r="1119" spans="4:16">
      <c r="D1119" s="596"/>
      <c r="G1119" s="37"/>
      <c r="H1119" s="37"/>
      <c r="I1119" s="37"/>
      <c r="J1119" s="37"/>
      <c r="K1119" s="37"/>
      <c r="L1119" s="37"/>
      <c r="M1119" s="37"/>
      <c r="O1119" s="39"/>
      <c r="P1119" s="37"/>
    </row>
    <row r="1120" spans="4:16">
      <c r="D1120" s="596"/>
      <c r="G1120" s="37"/>
      <c r="H1120" s="37"/>
      <c r="I1120" s="37"/>
      <c r="J1120" s="37"/>
      <c r="K1120" s="37"/>
      <c r="L1120" s="37"/>
      <c r="M1120" s="37"/>
      <c r="O1120" s="39"/>
      <c r="P1120" s="37"/>
    </row>
    <row r="1121" spans="4:16">
      <c r="D1121" s="596"/>
      <c r="G1121" s="37"/>
      <c r="H1121" s="37"/>
      <c r="I1121" s="37"/>
      <c r="J1121" s="37"/>
      <c r="K1121" s="37"/>
      <c r="L1121" s="37"/>
      <c r="M1121" s="37"/>
      <c r="O1121" s="39"/>
      <c r="P1121" s="37"/>
    </row>
    <row r="1122" spans="4:16">
      <c r="D1122" s="596"/>
      <c r="G1122" s="37"/>
      <c r="H1122" s="37"/>
      <c r="I1122" s="37"/>
      <c r="J1122" s="37"/>
      <c r="K1122" s="37"/>
      <c r="L1122" s="37"/>
      <c r="M1122" s="37"/>
      <c r="O1122" s="39"/>
      <c r="P1122" s="37"/>
    </row>
    <row r="1123" spans="4:16">
      <c r="D1123" s="596"/>
      <c r="G1123" s="37"/>
      <c r="H1123" s="37"/>
      <c r="I1123" s="37"/>
      <c r="J1123" s="37"/>
      <c r="K1123" s="37"/>
      <c r="L1123" s="37"/>
      <c r="M1123" s="37"/>
      <c r="O1123" s="39"/>
      <c r="P1123" s="37"/>
    </row>
    <row r="1124" spans="4:16">
      <c r="D1124" s="596"/>
      <c r="G1124" s="37"/>
      <c r="H1124" s="37"/>
      <c r="I1124" s="37"/>
      <c r="J1124" s="37"/>
      <c r="K1124" s="37"/>
      <c r="L1124" s="37"/>
      <c r="M1124" s="37"/>
      <c r="O1124" s="39"/>
      <c r="P1124" s="37"/>
    </row>
    <row r="1125" spans="4:16">
      <c r="D1125" s="596"/>
      <c r="G1125" s="37"/>
      <c r="H1125" s="37"/>
      <c r="I1125" s="37"/>
      <c r="J1125" s="37"/>
      <c r="K1125" s="37"/>
      <c r="L1125" s="37"/>
      <c r="M1125" s="37"/>
      <c r="O1125" s="39"/>
      <c r="P1125" s="37"/>
    </row>
    <row r="1126" spans="4:16">
      <c r="D1126" s="596"/>
      <c r="G1126" s="37"/>
      <c r="H1126" s="37"/>
      <c r="I1126" s="37"/>
      <c r="J1126" s="37"/>
      <c r="K1126" s="37"/>
      <c r="L1126" s="37"/>
      <c r="M1126" s="37"/>
      <c r="O1126" s="39"/>
      <c r="P1126" s="37"/>
    </row>
    <row r="1127" spans="4:16">
      <c r="D1127" s="596"/>
      <c r="G1127" s="37"/>
      <c r="H1127" s="37"/>
      <c r="I1127" s="37"/>
      <c r="J1127" s="37"/>
      <c r="K1127" s="37"/>
      <c r="L1127" s="37"/>
      <c r="M1127" s="37"/>
      <c r="O1127" s="39"/>
      <c r="P1127" s="37"/>
    </row>
    <row r="1128" spans="4:16">
      <c r="D1128" s="596"/>
      <c r="G1128" s="37"/>
      <c r="H1128" s="37"/>
      <c r="I1128" s="37"/>
      <c r="J1128" s="37"/>
      <c r="K1128" s="37"/>
      <c r="L1128" s="37"/>
      <c r="M1128" s="37"/>
      <c r="O1128" s="39"/>
      <c r="P1128" s="37"/>
    </row>
    <row r="1129" spans="4:16">
      <c r="D1129" s="596"/>
      <c r="G1129" s="37"/>
      <c r="H1129" s="37"/>
      <c r="I1129" s="37"/>
      <c r="J1129" s="37"/>
      <c r="K1129" s="37"/>
      <c r="L1129" s="37"/>
      <c r="M1129" s="37"/>
      <c r="O1129" s="39"/>
      <c r="P1129" s="37"/>
    </row>
    <row r="1130" spans="4:16">
      <c r="D1130" s="596"/>
      <c r="G1130" s="37"/>
      <c r="H1130" s="37"/>
      <c r="I1130" s="37"/>
      <c r="J1130" s="37"/>
      <c r="K1130" s="37"/>
      <c r="L1130" s="37"/>
      <c r="M1130" s="37"/>
      <c r="O1130" s="39"/>
      <c r="P1130" s="37"/>
    </row>
    <row r="1131" spans="4:16">
      <c r="D1131" s="596"/>
      <c r="G1131" s="37"/>
      <c r="H1131" s="37"/>
      <c r="I1131" s="37"/>
      <c r="J1131" s="37"/>
      <c r="K1131" s="37"/>
      <c r="L1131" s="37"/>
      <c r="M1131" s="37"/>
      <c r="O1131" s="39"/>
      <c r="P1131" s="37"/>
    </row>
    <row r="1132" spans="4:16">
      <c r="D1132" s="596"/>
      <c r="G1132" s="37"/>
      <c r="H1132" s="37"/>
      <c r="I1132" s="37"/>
      <c r="J1132" s="37"/>
      <c r="K1132" s="37"/>
      <c r="L1132" s="37"/>
      <c r="M1132" s="37"/>
      <c r="O1132" s="39"/>
      <c r="P1132" s="37"/>
    </row>
    <row r="1133" spans="4:16">
      <c r="D1133" s="596"/>
      <c r="G1133" s="37"/>
      <c r="H1133" s="37"/>
      <c r="I1133" s="37"/>
      <c r="J1133" s="37"/>
      <c r="K1133" s="37"/>
      <c r="L1133" s="37"/>
      <c r="M1133" s="37"/>
      <c r="O1133" s="39"/>
      <c r="P1133" s="37"/>
    </row>
    <row r="1134" spans="4:16">
      <c r="D1134" s="596"/>
      <c r="G1134" s="37"/>
      <c r="H1134" s="37"/>
      <c r="I1134" s="37"/>
      <c r="J1134" s="37"/>
      <c r="K1134" s="37"/>
      <c r="L1134" s="37"/>
      <c r="M1134" s="37"/>
      <c r="O1134" s="39"/>
      <c r="P1134" s="37"/>
    </row>
    <row r="1135" spans="4:16">
      <c r="D1135" s="596"/>
      <c r="G1135" s="37"/>
      <c r="H1135" s="37"/>
      <c r="I1135" s="37"/>
      <c r="J1135" s="37"/>
      <c r="K1135" s="37"/>
      <c r="L1135" s="37"/>
      <c r="M1135" s="37"/>
      <c r="O1135" s="39"/>
      <c r="P1135" s="37"/>
    </row>
    <row r="1136" spans="4:16">
      <c r="D1136" s="596"/>
      <c r="G1136" s="37"/>
      <c r="H1136" s="37"/>
      <c r="I1136" s="37"/>
      <c r="J1136" s="37"/>
      <c r="K1136" s="37"/>
      <c r="L1136" s="37"/>
      <c r="M1136" s="37"/>
      <c r="O1136" s="39"/>
      <c r="P1136" s="37"/>
    </row>
    <row r="1137" spans="4:16">
      <c r="D1137" s="596"/>
      <c r="G1137" s="37"/>
      <c r="H1137" s="37"/>
      <c r="I1137" s="37"/>
      <c r="J1137" s="37"/>
      <c r="K1137" s="37"/>
      <c r="L1137" s="37"/>
      <c r="M1137" s="37"/>
      <c r="O1137" s="39"/>
      <c r="P1137" s="37"/>
    </row>
    <row r="1138" spans="4:16">
      <c r="D1138" s="596"/>
      <c r="G1138" s="37"/>
      <c r="H1138" s="37"/>
      <c r="I1138" s="37"/>
      <c r="J1138" s="37"/>
      <c r="K1138" s="37"/>
      <c r="L1138" s="37"/>
      <c r="M1138" s="37"/>
      <c r="O1138" s="39"/>
      <c r="P1138" s="37"/>
    </row>
    <row r="1139" spans="4:16">
      <c r="D1139" s="596"/>
      <c r="G1139" s="37"/>
      <c r="H1139" s="37"/>
      <c r="I1139" s="37"/>
      <c r="J1139" s="37"/>
      <c r="K1139" s="37"/>
      <c r="L1139" s="37"/>
      <c r="M1139" s="37"/>
      <c r="O1139" s="39"/>
      <c r="P1139" s="37"/>
    </row>
    <row r="1140" spans="4:16">
      <c r="D1140" s="596"/>
      <c r="G1140" s="37"/>
      <c r="H1140" s="37"/>
      <c r="I1140" s="37"/>
      <c r="J1140" s="37"/>
      <c r="K1140" s="37"/>
      <c r="L1140" s="37"/>
      <c r="M1140" s="37"/>
      <c r="O1140" s="39"/>
      <c r="P1140" s="37"/>
    </row>
    <row r="1141" spans="4:16">
      <c r="D1141" s="596"/>
      <c r="G1141" s="37"/>
      <c r="H1141" s="37"/>
      <c r="I1141" s="37"/>
      <c r="J1141" s="37"/>
      <c r="K1141" s="37"/>
      <c r="L1141" s="37"/>
      <c r="M1141" s="37"/>
      <c r="O1141" s="39"/>
      <c r="P1141" s="37"/>
    </row>
    <row r="1142" spans="4:16">
      <c r="D1142" s="596"/>
      <c r="G1142" s="37"/>
      <c r="H1142" s="37"/>
      <c r="I1142" s="37"/>
      <c r="J1142" s="37"/>
      <c r="K1142" s="37"/>
      <c r="L1142" s="37"/>
      <c r="M1142" s="37"/>
      <c r="O1142" s="39"/>
      <c r="P1142" s="37"/>
    </row>
    <row r="1143" spans="4:16">
      <c r="D1143" s="596"/>
      <c r="G1143" s="37"/>
      <c r="H1143" s="37"/>
      <c r="I1143" s="37"/>
      <c r="J1143" s="37"/>
      <c r="K1143" s="37"/>
      <c r="L1143" s="37"/>
      <c r="M1143" s="37"/>
      <c r="O1143" s="39"/>
      <c r="P1143" s="37"/>
    </row>
    <row r="1144" spans="4:16">
      <c r="D1144" s="596"/>
      <c r="G1144" s="37"/>
      <c r="H1144" s="37"/>
      <c r="I1144" s="37"/>
      <c r="J1144" s="37"/>
      <c r="K1144" s="37"/>
      <c r="L1144" s="37"/>
      <c r="M1144" s="37"/>
      <c r="O1144" s="39"/>
      <c r="P1144" s="37"/>
    </row>
    <row r="1145" spans="4:16">
      <c r="D1145" s="596"/>
      <c r="G1145" s="37"/>
      <c r="H1145" s="37"/>
      <c r="I1145" s="37"/>
      <c r="J1145" s="37"/>
      <c r="K1145" s="37"/>
      <c r="L1145" s="37"/>
      <c r="M1145" s="37"/>
      <c r="O1145" s="39"/>
      <c r="P1145" s="37"/>
    </row>
    <row r="1146" spans="4:16">
      <c r="D1146" s="596"/>
      <c r="G1146" s="37"/>
      <c r="H1146" s="37"/>
      <c r="I1146" s="37"/>
      <c r="J1146" s="37"/>
      <c r="K1146" s="37"/>
      <c r="L1146" s="37"/>
      <c r="M1146" s="37"/>
      <c r="O1146" s="39"/>
      <c r="P1146" s="37"/>
    </row>
    <row r="1147" spans="4:16">
      <c r="D1147" s="596"/>
      <c r="G1147" s="37"/>
      <c r="H1147" s="37"/>
      <c r="I1147" s="37"/>
      <c r="J1147" s="37"/>
      <c r="K1147" s="37"/>
      <c r="L1147" s="37"/>
      <c r="M1147" s="37"/>
      <c r="O1147" s="39"/>
      <c r="P1147" s="37"/>
    </row>
    <row r="1148" spans="4:16">
      <c r="D1148" s="596"/>
      <c r="G1148" s="37"/>
      <c r="H1148" s="37"/>
      <c r="I1148" s="37"/>
      <c r="J1148" s="37"/>
      <c r="K1148" s="37"/>
      <c r="L1148" s="37"/>
      <c r="M1148" s="37"/>
      <c r="O1148" s="39"/>
      <c r="P1148" s="37"/>
    </row>
    <row r="1149" spans="4:16">
      <c r="D1149" s="596"/>
      <c r="G1149" s="37"/>
      <c r="H1149" s="37"/>
      <c r="I1149" s="37"/>
      <c r="J1149" s="37"/>
      <c r="K1149" s="37"/>
      <c r="L1149" s="37"/>
      <c r="M1149" s="37"/>
      <c r="O1149" s="39"/>
      <c r="P1149" s="37"/>
    </row>
    <row r="1150" spans="4:16">
      <c r="D1150" s="596"/>
      <c r="G1150" s="37"/>
      <c r="H1150" s="37"/>
      <c r="I1150" s="37"/>
      <c r="J1150" s="37"/>
      <c r="K1150" s="37"/>
      <c r="L1150" s="37"/>
      <c r="M1150" s="37"/>
      <c r="O1150" s="39"/>
      <c r="P1150" s="37"/>
    </row>
    <row r="1151" spans="4:16">
      <c r="D1151" s="596"/>
      <c r="G1151" s="37"/>
      <c r="H1151" s="37"/>
      <c r="I1151" s="37"/>
      <c r="J1151" s="37"/>
      <c r="K1151" s="37"/>
      <c r="L1151" s="37"/>
      <c r="M1151" s="37"/>
      <c r="O1151" s="39"/>
      <c r="P1151" s="37"/>
    </row>
    <row r="1152" spans="4:16">
      <c r="D1152" s="596"/>
      <c r="G1152" s="37"/>
      <c r="H1152" s="37"/>
      <c r="I1152" s="37"/>
      <c r="J1152" s="37"/>
      <c r="K1152" s="37"/>
      <c r="L1152" s="37"/>
      <c r="M1152" s="37"/>
      <c r="O1152" s="39"/>
      <c r="P1152" s="37"/>
    </row>
    <row r="1153" spans="4:16">
      <c r="D1153" s="596"/>
      <c r="G1153" s="37"/>
      <c r="H1153" s="37"/>
      <c r="I1153" s="37"/>
      <c r="J1153" s="37"/>
      <c r="K1153" s="37"/>
      <c r="L1153" s="37"/>
      <c r="M1153" s="37"/>
      <c r="O1153" s="39"/>
      <c r="P1153" s="37"/>
    </row>
    <row r="1154" spans="4:16">
      <c r="D1154" s="596"/>
      <c r="G1154" s="37"/>
      <c r="H1154" s="37"/>
      <c r="I1154" s="37"/>
      <c r="J1154" s="37"/>
      <c r="K1154" s="37"/>
      <c r="L1154" s="37"/>
      <c r="M1154" s="37"/>
      <c r="O1154" s="39"/>
      <c r="P1154" s="37"/>
    </row>
    <row r="1155" spans="4:16">
      <c r="D1155" s="596"/>
      <c r="G1155" s="37"/>
      <c r="H1155" s="37"/>
      <c r="I1155" s="37"/>
      <c r="J1155" s="37"/>
      <c r="K1155" s="37"/>
      <c r="L1155" s="37"/>
      <c r="M1155" s="37"/>
      <c r="O1155" s="39"/>
      <c r="P1155" s="37"/>
    </row>
    <row r="1156" spans="4:16">
      <c r="D1156" s="596"/>
      <c r="G1156" s="37"/>
      <c r="H1156" s="37"/>
      <c r="I1156" s="37"/>
      <c r="J1156" s="37"/>
      <c r="K1156" s="37"/>
      <c r="L1156" s="37"/>
      <c r="M1156" s="37"/>
      <c r="O1156" s="39"/>
      <c r="P1156" s="37"/>
    </row>
    <row r="1157" spans="4:16">
      <c r="D1157" s="596"/>
      <c r="G1157" s="37"/>
      <c r="H1157" s="37"/>
      <c r="I1157" s="37"/>
      <c r="J1157" s="37"/>
      <c r="K1157" s="37"/>
      <c r="L1157" s="37"/>
      <c r="M1157" s="37"/>
      <c r="O1157" s="39"/>
      <c r="P1157" s="37"/>
    </row>
    <row r="1158" spans="4:16">
      <c r="D1158" s="596"/>
      <c r="G1158" s="37"/>
      <c r="H1158" s="37"/>
      <c r="I1158" s="37"/>
      <c r="J1158" s="37"/>
      <c r="K1158" s="37"/>
      <c r="L1158" s="37"/>
      <c r="M1158" s="37"/>
      <c r="O1158" s="39"/>
      <c r="P1158" s="37"/>
    </row>
    <row r="1159" spans="4:16">
      <c r="D1159" s="596"/>
      <c r="G1159" s="37"/>
      <c r="H1159" s="37"/>
      <c r="I1159" s="37"/>
      <c r="J1159" s="37"/>
      <c r="K1159" s="37"/>
      <c r="L1159" s="37"/>
      <c r="M1159" s="37"/>
      <c r="O1159" s="39"/>
      <c r="P1159" s="37"/>
    </row>
    <row r="1160" spans="4:16">
      <c r="D1160" s="596"/>
      <c r="G1160" s="37"/>
      <c r="H1160" s="37"/>
      <c r="I1160" s="37"/>
      <c r="J1160" s="37"/>
      <c r="K1160" s="37"/>
      <c r="L1160" s="37"/>
      <c r="M1160" s="37"/>
      <c r="O1160" s="39"/>
      <c r="P1160" s="37"/>
    </row>
    <row r="1161" spans="4:16">
      <c r="D1161" s="596"/>
      <c r="G1161" s="37"/>
      <c r="H1161" s="37"/>
      <c r="I1161" s="37"/>
      <c r="J1161" s="37"/>
      <c r="K1161" s="37"/>
      <c r="L1161" s="37"/>
      <c r="M1161" s="37"/>
      <c r="O1161" s="39"/>
      <c r="P1161" s="37"/>
    </row>
    <row r="1162" spans="4:16">
      <c r="D1162" s="596"/>
      <c r="G1162" s="37"/>
      <c r="H1162" s="37"/>
      <c r="I1162" s="37"/>
      <c r="J1162" s="37"/>
      <c r="K1162" s="37"/>
      <c r="L1162" s="37"/>
      <c r="M1162" s="37"/>
      <c r="O1162" s="39"/>
      <c r="P1162" s="37"/>
    </row>
    <row r="1163" spans="4:16">
      <c r="D1163" s="596"/>
      <c r="G1163" s="37"/>
      <c r="H1163" s="37"/>
      <c r="I1163" s="37"/>
      <c r="J1163" s="37"/>
      <c r="K1163" s="37"/>
      <c r="L1163" s="37"/>
      <c r="M1163" s="37"/>
      <c r="O1163" s="39"/>
      <c r="P1163" s="37"/>
    </row>
    <row r="1164" spans="4:16">
      <c r="D1164" s="596"/>
      <c r="G1164" s="37"/>
      <c r="H1164" s="37"/>
      <c r="I1164" s="37"/>
      <c r="J1164" s="37"/>
      <c r="K1164" s="37"/>
      <c r="L1164" s="37"/>
      <c r="M1164" s="37"/>
      <c r="O1164" s="39"/>
      <c r="P1164" s="37"/>
    </row>
    <row r="1165" spans="4:16">
      <c r="D1165" s="596"/>
      <c r="G1165" s="37"/>
      <c r="H1165" s="37"/>
      <c r="I1165" s="37"/>
      <c r="J1165" s="37"/>
      <c r="K1165" s="37"/>
      <c r="L1165" s="37"/>
      <c r="M1165" s="37"/>
      <c r="O1165" s="39"/>
      <c r="P1165" s="37"/>
    </row>
    <row r="1166" spans="4:16">
      <c r="D1166" s="596"/>
      <c r="G1166" s="37"/>
      <c r="H1166" s="37"/>
      <c r="I1166" s="37"/>
      <c r="J1166" s="37"/>
      <c r="K1166" s="37"/>
      <c r="L1166" s="37"/>
      <c r="M1166" s="37"/>
      <c r="O1166" s="39"/>
      <c r="P1166" s="37"/>
    </row>
    <row r="1167" spans="4:16">
      <c r="D1167" s="596"/>
      <c r="G1167" s="37"/>
      <c r="H1167" s="37"/>
      <c r="I1167" s="37"/>
      <c r="J1167" s="37"/>
      <c r="K1167" s="37"/>
      <c r="L1167" s="37"/>
      <c r="M1167" s="37"/>
      <c r="O1167" s="39"/>
      <c r="P1167" s="37"/>
    </row>
    <row r="1168" spans="4:16">
      <c r="D1168" s="596"/>
      <c r="G1168" s="37"/>
      <c r="H1168" s="37"/>
      <c r="I1168" s="37"/>
      <c r="J1168" s="37"/>
      <c r="K1168" s="37"/>
      <c r="L1168" s="37"/>
      <c r="M1168" s="37"/>
      <c r="O1168" s="39"/>
      <c r="P1168" s="37"/>
    </row>
    <row r="1169" spans="4:16">
      <c r="D1169" s="596"/>
      <c r="G1169" s="37"/>
      <c r="H1169" s="37"/>
      <c r="I1169" s="37"/>
      <c r="J1169" s="37"/>
      <c r="K1169" s="37"/>
      <c r="L1169" s="37"/>
      <c r="M1169" s="37"/>
      <c r="O1169" s="39"/>
      <c r="P1169" s="37"/>
    </row>
    <row r="1170" spans="4:16">
      <c r="D1170" s="596"/>
      <c r="G1170" s="37"/>
      <c r="H1170" s="37"/>
      <c r="I1170" s="37"/>
      <c r="J1170" s="37"/>
      <c r="K1170" s="37"/>
      <c r="L1170" s="37"/>
      <c r="M1170" s="37"/>
      <c r="O1170" s="39"/>
      <c r="P1170" s="37"/>
    </row>
    <row r="1171" spans="4:16">
      <c r="D1171" s="596"/>
      <c r="G1171" s="37"/>
      <c r="H1171" s="37"/>
      <c r="I1171" s="37"/>
      <c r="J1171" s="37"/>
      <c r="K1171" s="37"/>
      <c r="L1171" s="37"/>
      <c r="M1171" s="37"/>
      <c r="O1171" s="39"/>
      <c r="P1171" s="37"/>
    </row>
    <row r="1172" spans="4:16">
      <c r="D1172" s="596"/>
      <c r="G1172" s="37"/>
      <c r="H1172" s="37"/>
      <c r="I1172" s="37"/>
      <c r="J1172" s="37"/>
      <c r="K1172" s="37"/>
      <c r="L1172" s="37"/>
      <c r="M1172" s="37"/>
      <c r="O1172" s="39"/>
      <c r="P1172" s="37"/>
    </row>
    <row r="1173" spans="4:16">
      <c r="D1173" s="596"/>
      <c r="G1173" s="37"/>
      <c r="H1173" s="37"/>
      <c r="I1173" s="37"/>
      <c r="J1173" s="37"/>
      <c r="K1173" s="37"/>
      <c r="L1173" s="37"/>
      <c r="M1173" s="37"/>
      <c r="O1173" s="39"/>
      <c r="P1173" s="37"/>
    </row>
    <row r="1174" spans="4:16">
      <c r="D1174" s="596"/>
      <c r="G1174" s="37"/>
      <c r="H1174" s="37"/>
      <c r="I1174" s="37"/>
      <c r="J1174" s="37"/>
      <c r="K1174" s="37"/>
      <c r="L1174" s="37"/>
      <c r="M1174" s="37"/>
      <c r="O1174" s="39"/>
      <c r="P1174" s="37"/>
    </row>
    <row r="1175" spans="4:16">
      <c r="D1175" s="596"/>
      <c r="G1175" s="37"/>
      <c r="H1175" s="37"/>
      <c r="I1175" s="37"/>
      <c r="J1175" s="37"/>
      <c r="K1175" s="37"/>
      <c r="L1175" s="37"/>
      <c r="M1175" s="37"/>
      <c r="O1175" s="39"/>
      <c r="P1175" s="37"/>
    </row>
    <row r="1176" spans="4:16">
      <c r="D1176" s="596"/>
      <c r="G1176" s="37"/>
      <c r="H1176" s="37"/>
      <c r="I1176" s="37"/>
      <c r="J1176" s="37"/>
      <c r="K1176" s="37"/>
      <c r="L1176" s="37"/>
      <c r="M1176" s="37"/>
      <c r="O1176" s="39"/>
      <c r="P1176" s="37"/>
    </row>
    <row r="1177" spans="4:16">
      <c r="D1177" s="596"/>
      <c r="G1177" s="37"/>
      <c r="H1177" s="37"/>
      <c r="I1177" s="37"/>
      <c r="J1177" s="37"/>
      <c r="K1177" s="37"/>
      <c r="L1177" s="37"/>
      <c r="M1177" s="37"/>
      <c r="O1177" s="39"/>
      <c r="P1177" s="37"/>
    </row>
    <row r="1178" spans="4:16">
      <c r="D1178" s="596"/>
      <c r="G1178" s="37"/>
      <c r="H1178" s="37"/>
      <c r="I1178" s="37"/>
      <c r="J1178" s="37"/>
      <c r="K1178" s="37"/>
      <c r="L1178" s="37"/>
      <c r="M1178" s="37"/>
      <c r="O1178" s="39"/>
      <c r="P1178" s="37"/>
    </row>
    <row r="1179" spans="4:16">
      <c r="D1179" s="596"/>
      <c r="G1179" s="37"/>
      <c r="H1179" s="37"/>
      <c r="I1179" s="37"/>
      <c r="J1179" s="37"/>
      <c r="K1179" s="37"/>
      <c r="L1179" s="37"/>
      <c r="M1179" s="37"/>
      <c r="O1179" s="39"/>
      <c r="P1179" s="37"/>
    </row>
    <row r="1180" spans="4:16">
      <c r="D1180" s="596"/>
      <c r="G1180" s="37"/>
      <c r="H1180" s="37"/>
      <c r="I1180" s="37"/>
      <c r="J1180" s="37"/>
      <c r="K1180" s="37"/>
      <c r="L1180" s="37"/>
      <c r="M1180" s="37"/>
      <c r="O1180" s="39"/>
      <c r="P1180" s="37"/>
    </row>
    <row r="1181" spans="4:16">
      <c r="D1181" s="596"/>
      <c r="G1181" s="37"/>
      <c r="H1181" s="37"/>
      <c r="I1181" s="37"/>
      <c r="J1181" s="37"/>
      <c r="K1181" s="37"/>
      <c r="L1181" s="37"/>
      <c r="M1181" s="37"/>
      <c r="O1181" s="39"/>
      <c r="P1181" s="37"/>
    </row>
    <row r="1182" spans="4:16">
      <c r="D1182" s="596"/>
      <c r="G1182" s="37"/>
      <c r="H1182" s="37"/>
      <c r="I1182" s="37"/>
      <c r="J1182" s="37"/>
      <c r="K1182" s="37"/>
      <c r="L1182" s="37"/>
      <c r="M1182" s="37"/>
      <c r="O1182" s="39"/>
      <c r="P1182" s="37"/>
    </row>
    <row r="1183" spans="4:16">
      <c r="D1183" s="596"/>
      <c r="G1183" s="37"/>
      <c r="H1183" s="37"/>
      <c r="I1183" s="37"/>
      <c r="J1183" s="37"/>
      <c r="K1183" s="37"/>
      <c r="L1183" s="37"/>
      <c r="M1183" s="37"/>
      <c r="O1183" s="39"/>
      <c r="P1183" s="37"/>
    </row>
    <row r="1184" spans="4:16">
      <c r="D1184" s="596"/>
      <c r="G1184" s="37"/>
      <c r="H1184" s="37"/>
      <c r="I1184" s="37"/>
      <c r="J1184" s="37"/>
      <c r="K1184" s="37"/>
      <c r="L1184" s="37"/>
      <c r="M1184" s="37"/>
      <c r="O1184" s="39"/>
      <c r="P1184" s="37"/>
    </row>
    <row r="1185" spans="4:16">
      <c r="D1185" s="596"/>
      <c r="G1185" s="37"/>
      <c r="H1185" s="37"/>
      <c r="I1185" s="37"/>
      <c r="J1185" s="37"/>
      <c r="K1185" s="37"/>
      <c r="L1185" s="37"/>
      <c r="M1185" s="37"/>
      <c r="O1185" s="39"/>
      <c r="P1185" s="37"/>
    </row>
    <row r="1186" spans="4:16">
      <c r="D1186" s="596"/>
      <c r="G1186" s="37"/>
      <c r="H1186" s="37"/>
      <c r="I1186" s="37"/>
      <c r="J1186" s="37"/>
      <c r="K1186" s="37"/>
      <c r="L1186" s="37"/>
      <c r="M1186" s="37"/>
      <c r="O1186" s="39"/>
      <c r="P1186" s="37"/>
    </row>
    <row r="1187" spans="4:16">
      <c r="D1187" s="596"/>
      <c r="G1187" s="37"/>
      <c r="H1187" s="37"/>
      <c r="I1187" s="37"/>
      <c r="J1187" s="37"/>
      <c r="K1187" s="37"/>
      <c r="L1187" s="37"/>
      <c r="M1187" s="37"/>
      <c r="O1187" s="39"/>
      <c r="P1187" s="37"/>
    </row>
    <row r="1188" spans="4:16">
      <c r="D1188" s="596"/>
      <c r="G1188" s="37"/>
      <c r="H1188" s="37"/>
      <c r="I1188" s="37"/>
      <c r="J1188" s="37"/>
      <c r="K1188" s="37"/>
      <c r="L1188" s="37"/>
      <c r="M1188" s="37"/>
      <c r="O1188" s="39"/>
      <c r="P1188" s="37"/>
    </row>
    <row r="1189" spans="4:16">
      <c r="D1189" s="596"/>
      <c r="G1189" s="37"/>
      <c r="H1189" s="37"/>
      <c r="I1189" s="37"/>
      <c r="J1189" s="37"/>
      <c r="K1189" s="37"/>
      <c r="L1189" s="37"/>
      <c r="M1189" s="37"/>
      <c r="O1189" s="39"/>
      <c r="P1189" s="37"/>
    </row>
    <row r="1190" spans="4:16">
      <c r="D1190" s="596"/>
      <c r="G1190" s="37"/>
      <c r="H1190" s="37"/>
      <c r="I1190" s="37"/>
      <c r="J1190" s="37"/>
      <c r="K1190" s="37"/>
      <c r="L1190" s="37"/>
      <c r="M1190" s="37"/>
      <c r="O1190" s="39"/>
      <c r="P1190" s="37"/>
    </row>
    <row r="1191" spans="4:16">
      <c r="D1191" s="596"/>
      <c r="G1191" s="37"/>
      <c r="H1191" s="37"/>
      <c r="I1191" s="37"/>
      <c r="J1191" s="37"/>
      <c r="K1191" s="37"/>
      <c r="L1191" s="37"/>
      <c r="M1191" s="37"/>
      <c r="O1191" s="39"/>
      <c r="P1191" s="37"/>
    </row>
    <row r="1192" spans="4:16">
      <c r="D1192" s="596"/>
      <c r="G1192" s="37"/>
      <c r="H1192" s="37"/>
      <c r="I1192" s="37"/>
      <c r="J1192" s="37"/>
      <c r="K1192" s="37"/>
      <c r="L1192" s="37"/>
      <c r="M1192" s="37"/>
      <c r="O1192" s="39"/>
      <c r="P1192" s="37"/>
    </row>
    <row r="1193" spans="4:16">
      <c r="D1193" s="596"/>
      <c r="G1193" s="37"/>
      <c r="H1193" s="37"/>
      <c r="I1193" s="37"/>
      <c r="J1193" s="37"/>
      <c r="K1193" s="37"/>
      <c r="L1193" s="37"/>
      <c r="M1193" s="37"/>
      <c r="O1193" s="39"/>
      <c r="P1193" s="37"/>
    </row>
    <row r="1194" spans="4:16">
      <c r="D1194" s="596"/>
      <c r="G1194" s="37"/>
      <c r="H1194" s="37"/>
      <c r="I1194" s="37"/>
      <c r="J1194" s="37"/>
      <c r="K1194" s="37"/>
      <c r="L1194" s="37"/>
      <c r="M1194" s="37"/>
      <c r="O1194" s="39"/>
      <c r="P1194" s="37"/>
    </row>
    <row r="1195" spans="4:16">
      <c r="D1195" s="596"/>
      <c r="G1195" s="37"/>
      <c r="H1195" s="37"/>
      <c r="I1195" s="37"/>
      <c r="J1195" s="37"/>
      <c r="K1195" s="37"/>
      <c r="L1195" s="37"/>
      <c r="M1195" s="37"/>
      <c r="O1195" s="39"/>
      <c r="P1195" s="37"/>
    </row>
    <row r="1196" spans="4:16">
      <c r="D1196" s="596"/>
      <c r="G1196" s="37"/>
      <c r="H1196" s="37"/>
      <c r="I1196" s="37"/>
      <c r="J1196" s="37"/>
      <c r="K1196" s="37"/>
      <c r="L1196" s="37"/>
      <c r="M1196" s="37"/>
      <c r="O1196" s="39"/>
      <c r="P1196" s="37"/>
    </row>
    <row r="1197" spans="4:16">
      <c r="D1197" s="596"/>
      <c r="G1197" s="37"/>
      <c r="H1197" s="37"/>
      <c r="I1197" s="37"/>
      <c r="J1197" s="37"/>
      <c r="K1197" s="37"/>
      <c r="L1197" s="37"/>
      <c r="M1197" s="37"/>
      <c r="O1197" s="39"/>
      <c r="P1197" s="37"/>
    </row>
    <row r="1198" spans="4:16">
      <c r="D1198" s="596"/>
      <c r="G1198" s="37"/>
      <c r="H1198" s="37"/>
      <c r="I1198" s="37"/>
      <c r="J1198" s="37"/>
      <c r="K1198" s="37"/>
      <c r="L1198" s="37"/>
      <c r="M1198" s="37"/>
      <c r="O1198" s="39"/>
      <c r="P1198" s="37"/>
    </row>
    <row r="1199" spans="4:16">
      <c r="D1199" s="596"/>
      <c r="G1199" s="37"/>
      <c r="H1199" s="37"/>
      <c r="I1199" s="37"/>
      <c r="J1199" s="37"/>
      <c r="K1199" s="37"/>
      <c r="L1199" s="37"/>
      <c r="M1199" s="37"/>
      <c r="O1199" s="39"/>
      <c r="P1199" s="37"/>
    </row>
    <row r="1200" spans="4:16">
      <c r="D1200" s="596"/>
      <c r="G1200" s="37"/>
      <c r="H1200" s="37"/>
      <c r="I1200" s="37"/>
      <c r="J1200" s="37"/>
      <c r="K1200" s="37"/>
      <c r="L1200" s="37"/>
      <c r="M1200" s="37"/>
      <c r="O1200" s="39"/>
      <c r="P1200" s="37"/>
    </row>
    <row r="1201" spans="4:16">
      <c r="D1201" s="596"/>
      <c r="G1201" s="37"/>
      <c r="H1201" s="37"/>
      <c r="I1201" s="37"/>
      <c r="J1201" s="37"/>
      <c r="K1201" s="37"/>
      <c r="L1201" s="37"/>
      <c r="M1201" s="37"/>
      <c r="O1201" s="39"/>
      <c r="P1201" s="37"/>
    </row>
    <row r="1202" spans="4:16">
      <c r="D1202" s="596"/>
      <c r="G1202" s="37"/>
      <c r="H1202" s="37"/>
      <c r="I1202" s="37"/>
      <c r="J1202" s="37"/>
      <c r="K1202" s="37"/>
      <c r="L1202" s="37"/>
      <c r="M1202" s="37"/>
      <c r="O1202" s="39"/>
      <c r="P1202" s="37"/>
    </row>
    <row r="1203" spans="4:16">
      <c r="D1203" s="596"/>
      <c r="G1203" s="37"/>
      <c r="H1203" s="37"/>
      <c r="I1203" s="37"/>
      <c r="J1203" s="37"/>
      <c r="K1203" s="37"/>
      <c r="L1203" s="37"/>
      <c r="M1203" s="37"/>
      <c r="O1203" s="39"/>
      <c r="P1203" s="37"/>
    </row>
    <row r="1204" spans="4:16">
      <c r="D1204" s="596"/>
      <c r="G1204" s="37"/>
      <c r="H1204" s="37"/>
      <c r="I1204" s="37"/>
      <c r="J1204" s="37"/>
      <c r="K1204" s="37"/>
      <c r="L1204" s="37"/>
      <c r="M1204" s="37"/>
      <c r="O1204" s="39"/>
      <c r="P1204" s="37"/>
    </row>
    <row r="1205" spans="4:16">
      <c r="D1205" s="596"/>
      <c r="G1205" s="37"/>
      <c r="H1205" s="37"/>
      <c r="I1205" s="37"/>
      <c r="J1205" s="37"/>
      <c r="K1205" s="37"/>
      <c r="L1205" s="37"/>
      <c r="M1205" s="37"/>
      <c r="O1205" s="39"/>
      <c r="P1205" s="37"/>
    </row>
    <row r="1206" spans="4:16">
      <c r="D1206" s="596"/>
      <c r="G1206" s="37"/>
      <c r="H1206" s="37"/>
      <c r="I1206" s="37"/>
      <c r="J1206" s="37"/>
      <c r="K1206" s="37"/>
      <c r="L1206" s="37"/>
      <c r="M1206" s="37"/>
      <c r="O1206" s="39"/>
      <c r="P1206" s="37"/>
    </row>
    <row r="1207" spans="4:16">
      <c r="D1207" s="596"/>
      <c r="G1207" s="37"/>
      <c r="H1207" s="37"/>
      <c r="I1207" s="37"/>
      <c r="J1207" s="37"/>
      <c r="K1207" s="37"/>
      <c r="L1207" s="37"/>
      <c r="M1207" s="37"/>
      <c r="O1207" s="39"/>
      <c r="P1207" s="37"/>
    </row>
    <row r="1208" spans="4:16">
      <c r="D1208" s="596"/>
      <c r="G1208" s="37"/>
      <c r="H1208" s="37"/>
      <c r="I1208" s="37"/>
      <c r="J1208" s="37"/>
      <c r="K1208" s="37"/>
      <c r="L1208" s="37"/>
      <c r="M1208" s="37"/>
      <c r="O1208" s="39"/>
      <c r="P1208" s="37"/>
    </row>
    <row r="1209" spans="4:16">
      <c r="D1209" s="596"/>
      <c r="G1209" s="37"/>
      <c r="H1209" s="37"/>
      <c r="I1209" s="37"/>
      <c r="J1209" s="37"/>
      <c r="K1209" s="37"/>
      <c r="L1209" s="37"/>
      <c r="M1209" s="37"/>
      <c r="O1209" s="39"/>
      <c r="P1209" s="37"/>
    </row>
    <row r="1210" spans="4:16">
      <c r="D1210" s="596"/>
      <c r="G1210" s="37"/>
      <c r="H1210" s="37"/>
      <c r="I1210" s="37"/>
      <c r="J1210" s="37"/>
      <c r="K1210" s="37"/>
      <c r="L1210" s="37"/>
      <c r="M1210" s="37"/>
      <c r="O1210" s="39"/>
      <c r="P1210" s="37"/>
    </row>
    <row r="1211" spans="4:16">
      <c r="D1211" s="596"/>
      <c r="G1211" s="37"/>
      <c r="H1211" s="37"/>
      <c r="I1211" s="37"/>
      <c r="J1211" s="37"/>
      <c r="K1211" s="37"/>
      <c r="L1211" s="37"/>
      <c r="M1211" s="37"/>
      <c r="O1211" s="39"/>
      <c r="P1211" s="37"/>
    </row>
    <row r="1212" spans="4:16">
      <c r="D1212" s="596"/>
      <c r="G1212" s="37"/>
      <c r="H1212" s="37"/>
      <c r="I1212" s="37"/>
      <c r="J1212" s="37"/>
      <c r="K1212" s="37"/>
      <c r="L1212" s="37"/>
      <c r="M1212" s="37"/>
      <c r="O1212" s="39"/>
      <c r="P1212" s="37"/>
    </row>
    <row r="1213" spans="4:16">
      <c r="D1213" s="596"/>
      <c r="G1213" s="37"/>
      <c r="H1213" s="37"/>
      <c r="I1213" s="37"/>
      <c r="J1213" s="37"/>
      <c r="K1213" s="37"/>
      <c r="L1213" s="37"/>
      <c r="M1213" s="37"/>
      <c r="O1213" s="39"/>
      <c r="P1213" s="37"/>
    </row>
    <row r="1214" spans="4:16">
      <c r="D1214" s="596"/>
      <c r="G1214" s="37"/>
      <c r="H1214" s="37"/>
      <c r="I1214" s="37"/>
      <c r="J1214" s="37"/>
      <c r="K1214" s="37"/>
      <c r="L1214" s="37"/>
      <c r="M1214" s="37"/>
      <c r="O1214" s="39"/>
      <c r="P1214" s="37"/>
    </row>
    <row r="1215" spans="4:16">
      <c r="D1215" s="596"/>
      <c r="G1215" s="37"/>
      <c r="H1215" s="37"/>
      <c r="I1215" s="37"/>
      <c r="J1215" s="37"/>
      <c r="K1215" s="37"/>
      <c r="L1215" s="37"/>
      <c r="M1215" s="37"/>
      <c r="O1215" s="39"/>
      <c r="P1215" s="37"/>
    </row>
    <row r="1216" spans="4:16">
      <c r="D1216" s="596"/>
      <c r="G1216" s="37"/>
      <c r="H1216" s="37"/>
      <c r="I1216" s="37"/>
      <c r="J1216" s="37"/>
      <c r="K1216" s="37"/>
      <c r="L1216" s="37"/>
      <c r="M1216" s="37"/>
      <c r="O1216" s="39"/>
      <c r="P1216" s="37"/>
    </row>
    <row r="1217" spans="4:16">
      <c r="D1217" s="596"/>
      <c r="G1217" s="37"/>
      <c r="H1217" s="37"/>
      <c r="I1217" s="37"/>
      <c r="J1217" s="37"/>
      <c r="K1217" s="37"/>
      <c r="L1217" s="37"/>
      <c r="M1217" s="37"/>
      <c r="O1217" s="39"/>
      <c r="P1217" s="37"/>
    </row>
    <row r="1218" spans="4:16">
      <c r="D1218" s="596"/>
      <c r="G1218" s="37"/>
      <c r="H1218" s="37"/>
      <c r="I1218" s="37"/>
      <c r="J1218" s="37"/>
      <c r="K1218" s="37"/>
      <c r="L1218" s="37"/>
      <c r="M1218" s="37"/>
      <c r="O1218" s="39"/>
      <c r="P1218" s="37"/>
    </row>
    <row r="1219" spans="4:16">
      <c r="D1219" s="596"/>
      <c r="G1219" s="37"/>
      <c r="H1219" s="37"/>
      <c r="I1219" s="37"/>
      <c r="J1219" s="37"/>
      <c r="K1219" s="37"/>
      <c r="L1219" s="37"/>
      <c r="M1219" s="37"/>
      <c r="O1219" s="39"/>
      <c r="P1219" s="37"/>
    </row>
    <row r="1220" spans="4:16">
      <c r="D1220" s="596"/>
      <c r="G1220" s="37"/>
      <c r="H1220" s="37"/>
      <c r="I1220" s="37"/>
      <c r="J1220" s="37"/>
      <c r="K1220" s="37"/>
      <c r="L1220" s="37"/>
      <c r="M1220" s="37"/>
      <c r="O1220" s="39"/>
      <c r="P1220" s="37"/>
    </row>
    <row r="1221" spans="4:16">
      <c r="D1221" s="596"/>
      <c r="G1221" s="37"/>
      <c r="H1221" s="37"/>
      <c r="I1221" s="37"/>
      <c r="J1221" s="37"/>
      <c r="K1221" s="37"/>
      <c r="L1221" s="37"/>
      <c r="M1221" s="37"/>
      <c r="O1221" s="39"/>
      <c r="P1221" s="37"/>
    </row>
    <row r="1222" spans="4:16">
      <c r="D1222" s="596"/>
      <c r="G1222" s="37"/>
      <c r="H1222" s="37"/>
      <c r="I1222" s="37"/>
      <c r="J1222" s="37"/>
      <c r="K1222" s="37"/>
      <c r="L1222" s="37"/>
      <c r="M1222" s="37"/>
      <c r="O1222" s="39"/>
    </row>
    <row r="1223" spans="4:16">
      <c r="D1223" s="596"/>
      <c r="G1223" s="37"/>
      <c r="H1223" s="37"/>
      <c r="I1223" s="37"/>
      <c r="J1223" s="37"/>
      <c r="K1223" s="37"/>
      <c r="L1223" s="37"/>
      <c r="M1223" s="37"/>
      <c r="O1223" s="39"/>
    </row>
    <row r="1224" spans="4:16">
      <c r="D1224" s="596"/>
      <c r="G1224" s="37"/>
      <c r="H1224" s="37"/>
      <c r="I1224" s="37"/>
      <c r="J1224" s="37"/>
      <c r="K1224" s="37"/>
      <c r="L1224" s="37"/>
      <c r="M1224" s="37"/>
      <c r="O1224" s="39"/>
    </row>
    <row r="1225" spans="4:16">
      <c r="D1225" s="596"/>
      <c r="G1225" s="37"/>
      <c r="H1225" s="37"/>
      <c r="I1225" s="37"/>
      <c r="J1225" s="37"/>
      <c r="K1225" s="37"/>
      <c r="L1225" s="37"/>
      <c r="M1225" s="37"/>
      <c r="O1225" s="39"/>
    </row>
    <row r="1226" spans="4:16">
      <c r="D1226" s="596"/>
      <c r="H1226" s="37"/>
      <c r="I1226" s="37"/>
      <c r="J1226" s="37"/>
      <c r="K1226" s="37"/>
      <c r="L1226" s="37"/>
      <c r="M1226" s="37"/>
      <c r="O1226" s="39"/>
    </row>
    <row r="1227" spans="4:16">
      <c r="M1227" s="37"/>
    </row>
    <row r="1228" spans="4:16">
      <c r="M1228" s="37"/>
    </row>
  </sheetData>
  <sheetProtection algorithmName="SHA-512" hashValue="rI28j3zxcW8ov6LeFSObSWiJUTdBhDU28bUBttl+dK9rUJKTZutqXxLUewHsFwkt7CNKk4/B6IWP9iJCJEO0RA==" saltValue="l82n4kh3kVp/mgNqU0fmEA==" spinCount="100000" sheet="1" objects="1" scenarios="1"/>
  <mergeCells count="14">
    <mergeCell ref="S3:U3"/>
    <mergeCell ref="D18:D19"/>
    <mergeCell ref="H69:I69"/>
    <mergeCell ref="H70:I70"/>
    <mergeCell ref="H71:I71"/>
    <mergeCell ref="H68:I68"/>
    <mergeCell ref="E23:F23"/>
    <mergeCell ref="H81:I81"/>
    <mergeCell ref="H82:I82"/>
    <mergeCell ref="M56:N56"/>
    <mergeCell ref="M3:N3"/>
    <mergeCell ref="M18:N18"/>
    <mergeCell ref="H79:I79"/>
    <mergeCell ref="H80:I80"/>
  </mergeCells>
  <phoneticPr fontId="0" type="noConversion"/>
  <printOptions horizontalCentered="1" verticalCentered="1"/>
  <pageMargins left="0" right="0" top="0.59055118110236227" bottom="0.19685039370078741" header="0.31496062992125984" footer="0.51181102362204722"/>
  <pageSetup paperSize="9" scale="64" orientation="portrait" r:id="rId1"/>
  <headerFooter alignWithMargins="0">
    <oddHeader>&amp;CNassington Parish Council
&amp;A&amp;RAccounts to 31 March 2024</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44"/>
    <pageSetUpPr fitToPage="1"/>
  </sheetPr>
  <dimension ref="A1:IU76"/>
  <sheetViews>
    <sheetView showGridLines="0" zoomScaleNormal="100" workbookViewId="0">
      <pane xSplit="2" ySplit="3" topLeftCell="C39" activePane="bottomRight" state="frozen"/>
      <selection activeCell="G37" sqref="G37"/>
      <selection pane="topRight" activeCell="G37" sqref="G37"/>
      <selection pane="bottomLeft" activeCell="G37" sqref="G37"/>
      <selection pane="bottomRight" activeCell="H69" sqref="H69"/>
    </sheetView>
  </sheetViews>
  <sheetFormatPr defaultColWidth="9.109375" defaultRowHeight="13.2"/>
  <cols>
    <col min="1" max="1" width="3.44140625" style="4" customWidth="1"/>
    <col min="2" max="2" width="10.33203125" style="4" customWidth="1"/>
    <col min="3" max="3" width="30.109375" style="4" customWidth="1"/>
    <col min="4" max="4" width="8.6640625" style="1" bestFit="1" customWidth="1"/>
    <col min="5" max="5" width="14.109375" style="5" customWidth="1"/>
    <col min="6" max="6" width="9.5546875" style="5" bestFit="1" customWidth="1"/>
    <col min="7" max="8" width="10.6640625" style="5" customWidth="1"/>
    <col min="9" max="9" width="10.5546875" style="5" customWidth="1"/>
    <col min="10" max="10" width="9.5546875" style="5" customWidth="1"/>
    <col min="11" max="12" width="10.5546875" style="5" bestFit="1" customWidth="1"/>
    <col min="13" max="13" width="10.5546875" style="1" bestFit="1" customWidth="1"/>
    <col min="14" max="14" width="16.5546875" style="651" hidden="1" customWidth="1"/>
    <col min="15" max="15" width="3.44140625" style="4" customWidth="1"/>
    <col min="16" max="16" width="9.88671875" style="4" hidden="1" customWidth="1"/>
    <col min="17" max="17" width="9.6640625" style="4" bestFit="1" customWidth="1"/>
    <col min="18" max="18" width="9.33203125" style="4" bestFit="1" customWidth="1"/>
    <col min="19" max="19" width="9.109375" style="4"/>
    <col min="20" max="20" width="9.88671875" style="4" customWidth="1"/>
    <col min="21" max="21" width="9.109375" style="4"/>
    <col min="22" max="22" width="9.33203125" style="4" bestFit="1" customWidth="1"/>
    <col min="23" max="16384" width="9.109375" style="4"/>
  </cols>
  <sheetData>
    <row r="1" spans="1:255" s="2" customFormat="1" ht="16.2" thickBot="1">
      <c r="B1" s="3"/>
      <c r="C1" s="7" t="s">
        <v>37</v>
      </c>
      <c r="D1" s="8"/>
      <c r="E1" s="1"/>
      <c r="F1" s="1"/>
      <c r="G1" s="1"/>
      <c r="H1" s="1"/>
      <c r="I1" s="1"/>
      <c r="J1" s="1"/>
      <c r="K1" s="1"/>
      <c r="L1" s="1"/>
      <c r="M1" s="1"/>
      <c r="N1" s="651"/>
    </row>
    <row r="2" spans="1:255" ht="14.25" customHeight="1">
      <c r="B2" s="868" t="s">
        <v>3</v>
      </c>
      <c r="C2" s="860" t="s">
        <v>4</v>
      </c>
      <c r="D2" s="870" t="s">
        <v>11</v>
      </c>
      <c r="E2" s="872" t="s">
        <v>8</v>
      </c>
      <c r="F2" s="860" t="s">
        <v>27</v>
      </c>
      <c r="G2" s="860" t="s">
        <v>24</v>
      </c>
      <c r="H2" s="862" t="s">
        <v>60</v>
      </c>
      <c r="I2" s="862" t="s">
        <v>266</v>
      </c>
      <c r="J2" s="860" t="s">
        <v>13</v>
      </c>
      <c r="K2" s="860" t="s">
        <v>10</v>
      </c>
      <c r="L2" s="872" t="s">
        <v>12</v>
      </c>
      <c r="M2" s="876" t="s">
        <v>14</v>
      </c>
      <c r="N2" s="874"/>
    </row>
    <row r="3" spans="1:255" ht="14.25" customHeight="1">
      <c r="B3" s="869"/>
      <c r="C3" s="861"/>
      <c r="D3" s="871"/>
      <c r="E3" s="873"/>
      <c r="F3" s="861"/>
      <c r="G3" s="861"/>
      <c r="H3" s="863"/>
      <c r="I3" s="863"/>
      <c r="J3" s="861"/>
      <c r="K3" s="861"/>
      <c r="L3" s="873"/>
      <c r="M3" s="877"/>
      <c r="N3" s="875"/>
    </row>
    <row r="4" spans="1:255" s="9" customFormat="1" ht="15" customHeight="1">
      <c r="A4" s="21" t="s">
        <v>223</v>
      </c>
      <c r="B4" s="28">
        <v>45027</v>
      </c>
      <c r="C4" s="29" t="s">
        <v>446</v>
      </c>
      <c r="D4" s="30" t="s">
        <v>447</v>
      </c>
      <c r="E4" s="24"/>
      <c r="F4" s="24"/>
      <c r="G4" s="24">
        <v>12</v>
      </c>
      <c r="H4" s="24"/>
      <c r="I4" s="24"/>
      <c r="J4" s="24"/>
      <c r="K4" s="24"/>
      <c r="L4" s="24"/>
      <c r="M4" s="31">
        <f t="shared" ref="M4:M68" si="0">SUM(E4:L4)</f>
        <v>12</v>
      </c>
      <c r="N4" s="652" t="s">
        <v>448</v>
      </c>
      <c r="O4" s="11"/>
      <c r="P4" s="682" t="s">
        <v>448</v>
      </c>
      <c r="Q4" s="11"/>
      <c r="R4" s="11"/>
      <c r="S4" s="11"/>
      <c r="T4" s="11"/>
      <c r="U4" s="11"/>
      <c r="V4" s="11"/>
    </row>
    <row r="5" spans="1:255" s="10" customFormat="1" ht="15" customHeight="1">
      <c r="A5" s="21" t="s">
        <v>235</v>
      </c>
      <c r="B5" s="199">
        <v>45029</v>
      </c>
      <c r="C5" s="203" t="s">
        <v>446</v>
      </c>
      <c r="D5" s="201" t="s">
        <v>447</v>
      </c>
      <c r="E5" s="205"/>
      <c r="F5" s="205"/>
      <c r="G5" s="205">
        <v>32</v>
      </c>
      <c r="H5" s="205"/>
      <c r="I5" s="205"/>
      <c r="J5" s="205"/>
      <c r="K5" s="205"/>
      <c r="L5" s="205"/>
      <c r="M5" s="202">
        <f t="shared" si="0"/>
        <v>32</v>
      </c>
      <c r="N5" s="653" t="s">
        <v>476</v>
      </c>
      <c r="O5" s="21"/>
      <c r="P5" s="21" t="s">
        <v>449</v>
      </c>
      <c r="Q5" s="21"/>
      <c r="R5" s="21"/>
      <c r="S5" s="21"/>
      <c r="T5" s="21"/>
      <c r="U5" s="21"/>
      <c r="V5" s="21"/>
      <c r="W5" s="21"/>
      <c r="X5" s="21"/>
      <c r="Y5" s="21"/>
      <c r="Z5" s="21"/>
      <c r="AA5" s="21"/>
      <c r="AB5" s="21"/>
      <c r="AC5" s="21"/>
      <c r="AD5" s="21"/>
      <c r="AE5" s="21"/>
      <c r="AF5" s="21"/>
      <c r="AG5" s="21"/>
      <c r="AH5" s="21"/>
      <c r="AI5" s="21"/>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row>
    <row r="6" spans="1:255" s="9" customFormat="1" ht="15" customHeight="1">
      <c r="A6" s="21" t="s">
        <v>236</v>
      </c>
      <c r="B6" s="28">
        <v>45035</v>
      </c>
      <c r="C6" s="32" t="s">
        <v>450</v>
      </c>
      <c r="D6" s="30" t="s">
        <v>451</v>
      </c>
      <c r="E6" s="24"/>
      <c r="F6" s="24"/>
      <c r="G6" s="24"/>
      <c r="H6" s="24"/>
      <c r="I6" s="24">
        <v>534.22</v>
      </c>
      <c r="J6" s="24"/>
      <c r="K6" s="24"/>
      <c r="L6" s="24"/>
      <c r="M6" s="31">
        <f t="shared" si="0"/>
        <v>534.22</v>
      </c>
      <c r="N6" s="654"/>
      <c r="O6" s="18"/>
      <c r="P6" s="15"/>
      <c r="Q6" s="15"/>
      <c r="R6" s="15"/>
      <c r="S6" s="15"/>
      <c r="T6" s="15"/>
      <c r="U6" s="15"/>
      <c r="V6" s="20"/>
      <c r="W6" s="19"/>
      <c r="X6" s="15"/>
      <c r="Y6" s="18"/>
      <c r="Z6" s="15"/>
      <c r="AA6" s="15"/>
      <c r="AB6" s="15"/>
      <c r="AC6" s="15"/>
      <c r="AD6" s="15"/>
      <c r="AE6" s="15"/>
      <c r="AF6" s="15"/>
      <c r="AG6" s="20"/>
      <c r="AH6" s="19"/>
      <c r="AI6" s="15"/>
      <c r="AJ6" s="18"/>
      <c r="AK6" s="15"/>
      <c r="AL6" s="15"/>
      <c r="AM6" s="15"/>
      <c r="AN6" s="15"/>
      <c r="AO6" s="15"/>
      <c r="AP6" s="15"/>
      <c r="AQ6" s="15"/>
      <c r="AR6" s="20"/>
      <c r="AS6" s="19"/>
      <c r="AT6" s="15"/>
      <c r="AU6" s="18"/>
      <c r="AV6" s="15"/>
      <c r="AW6" s="15"/>
      <c r="AX6" s="15"/>
      <c r="AY6" s="15"/>
      <c r="AZ6" s="15"/>
      <c r="BA6" s="15"/>
      <c r="BB6" s="15"/>
      <c r="BC6" s="20"/>
      <c r="BD6" s="19"/>
      <c r="BE6" s="15"/>
      <c r="BF6" s="18"/>
      <c r="BG6" s="15"/>
      <c r="BH6" s="15"/>
      <c r="BI6" s="15"/>
      <c r="BJ6" s="15"/>
      <c r="BK6" s="15"/>
      <c r="BL6" s="15"/>
      <c r="BM6" s="15"/>
      <c r="BN6" s="20"/>
      <c r="BO6" s="19"/>
      <c r="BP6" s="15"/>
      <c r="BQ6" s="18"/>
      <c r="BR6" s="15"/>
      <c r="BS6" s="15"/>
      <c r="BT6" s="15"/>
      <c r="BU6" s="15"/>
      <c r="BV6" s="15"/>
      <c r="BW6" s="15"/>
      <c r="BX6" s="15"/>
      <c r="BY6" s="20"/>
      <c r="BZ6" s="19"/>
      <c r="CA6" s="15"/>
      <c r="CB6" s="18"/>
      <c r="CC6" s="15"/>
      <c r="CD6" s="15"/>
      <c r="CE6" s="15"/>
      <c r="CF6" s="15"/>
      <c r="CG6" s="15"/>
      <c r="CH6" s="15"/>
      <c r="CI6" s="15"/>
      <c r="CJ6" s="20"/>
      <c r="CK6" s="19"/>
      <c r="CL6" s="15"/>
      <c r="CM6" s="18"/>
      <c r="CN6" s="15"/>
      <c r="CO6" s="15"/>
      <c r="CP6" s="15"/>
      <c r="CQ6" s="15"/>
      <c r="CR6" s="15"/>
      <c r="CS6" s="15"/>
      <c r="CT6" s="15"/>
      <c r="CU6" s="20"/>
      <c r="CV6" s="19"/>
      <c r="CW6" s="15"/>
      <c r="CX6" s="18"/>
      <c r="CY6" s="15"/>
      <c r="CZ6" s="15"/>
      <c r="DA6" s="15"/>
      <c r="DB6" s="15"/>
      <c r="DC6" s="15"/>
      <c r="DD6" s="15"/>
      <c r="DE6" s="15"/>
      <c r="DF6" s="20"/>
      <c r="DG6" s="19"/>
      <c r="DH6" s="15"/>
      <c r="DI6" s="18"/>
      <c r="DJ6" s="15"/>
      <c r="DK6" s="15"/>
      <c r="DL6" s="15"/>
      <c r="DM6" s="15"/>
      <c r="DN6" s="15"/>
      <c r="DO6" s="15"/>
      <c r="DP6" s="15"/>
      <c r="DQ6" s="20"/>
      <c r="DR6" s="19"/>
      <c r="DS6" s="15"/>
      <c r="DT6" s="18"/>
      <c r="DU6" s="15"/>
      <c r="DV6" s="15"/>
      <c r="DW6" s="15"/>
      <c r="DX6" s="15"/>
      <c r="DY6" s="15"/>
      <c r="DZ6" s="15"/>
      <c r="EA6" s="15"/>
      <c r="EB6" s="20"/>
      <c r="EC6" s="19"/>
      <c r="ED6" s="15"/>
      <c r="EE6" s="18"/>
      <c r="EF6" s="15"/>
      <c r="EG6" s="15"/>
      <c r="EH6" s="15"/>
      <c r="EI6" s="15"/>
      <c r="EJ6" s="15"/>
      <c r="EK6" s="15"/>
      <c r="EL6" s="15"/>
      <c r="EM6" s="20"/>
      <c r="EN6" s="19"/>
      <c r="EO6" s="15"/>
      <c r="EP6" s="18"/>
      <c r="EQ6" s="15"/>
      <c r="ER6" s="15"/>
      <c r="ES6" s="15"/>
      <c r="ET6" s="15"/>
      <c r="EU6" s="15"/>
      <c r="EV6" s="15"/>
      <c r="EW6" s="15"/>
      <c r="EX6" s="20"/>
      <c r="EY6" s="19"/>
      <c r="EZ6" s="15"/>
      <c r="FA6" s="18"/>
      <c r="FB6" s="15"/>
      <c r="FC6" s="15"/>
      <c r="FD6" s="15"/>
      <c r="FE6" s="15"/>
      <c r="FF6" s="15"/>
      <c r="FG6" s="15"/>
      <c r="FH6" s="15"/>
      <c r="FI6" s="20"/>
      <c r="FJ6" s="19"/>
      <c r="FK6" s="15"/>
      <c r="FL6" s="18"/>
      <c r="FM6" s="15"/>
      <c r="FN6" s="15"/>
      <c r="FO6" s="15"/>
      <c r="FP6" s="15"/>
      <c r="FQ6" s="15"/>
      <c r="FR6" s="15"/>
      <c r="FS6" s="15"/>
      <c r="FT6" s="20"/>
      <c r="FU6" s="19"/>
      <c r="FV6" s="15"/>
      <c r="FW6" s="18"/>
      <c r="FX6" s="15"/>
      <c r="FY6" s="15"/>
      <c r="FZ6" s="15"/>
      <c r="GA6" s="15"/>
      <c r="GB6" s="15"/>
      <c r="GC6" s="15"/>
      <c r="GD6" s="15"/>
      <c r="GE6" s="20"/>
      <c r="GF6" s="19"/>
      <c r="GG6" s="15"/>
      <c r="GH6" s="18"/>
      <c r="GI6" s="15"/>
      <c r="GJ6" s="15"/>
      <c r="GK6" s="15"/>
      <c r="GL6" s="15"/>
      <c r="GM6" s="15"/>
      <c r="GN6" s="15"/>
      <c r="GO6" s="15"/>
      <c r="GP6" s="20"/>
      <c r="GQ6" s="19"/>
      <c r="GR6" s="15"/>
      <c r="GS6" s="18"/>
      <c r="GT6" s="15"/>
      <c r="GU6" s="15"/>
      <c r="GV6" s="15"/>
      <c r="GW6" s="15"/>
      <c r="GX6" s="15"/>
      <c r="GY6" s="15"/>
      <c r="GZ6" s="15"/>
      <c r="HA6" s="20"/>
      <c r="HB6" s="19"/>
      <c r="HC6" s="15"/>
      <c r="HD6" s="18"/>
      <c r="HE6" s="15"/>
      <c r="HF6" s="15"/>
      <c r="HG6" s="15"/>
      <c r="HH6" s="15"/>
      <c r="HI6" s="15"/>
      <c r="HJ6" s="15"/>
      <c r="HK6" s="15"/>
      <c r="HL6" s="20"/>
      <c r="HM6" s="19"/>
      <c r="HN6" s="15"/>
      <c r="HO6" s="18"/>
      <c r="HP6" s="15"/>
      <c r="HQ6" s="15"/>
      <c r="HR6" s="15"/>
      <c r="HS6" s="15"/>
      <c r="HT6" s="15"/>
      <c r="HU6" s="15"/>
      <c r="HV6" s="15"/>
      <c r="HW6" s="20"/>
      <c r="HX6" s="19"/>
      <c r="HY6" s="15"/>
      <c r="HZ6" s="18"/>
      <c r="IA6" s="15"/>
      <c r="IB6" s="15"/>
      <c r="IC6" s="15"/>
      <c r="ID6" s="15"/>
      <c r="IE6" s="15"/>
      <c r="IF6" s="15"/>
      <c r="IG6" s="15"/>
      <c r="IH6" s="20"/>
      <c r="II6" s="19"/>
      <c r="IJ6" s="15"/>
      <c r="IK6" s="18"/>
      <c r="IL6" s="15"/>
    </row>
    <row r="7" spans="1:255" s="9" customFormat="1" ht="15" customHeight="1">
      <c r="A7" s="21" t="s">
        <v>138</v>
      </c>
      <c r="B7" s="199">
        <v>45042</v>
      </c>
      <c r="C7" s="203" t="s">
        <v>8</v>
      </c>
      <c r="D7" s="201" t="s">
        <v>451</v>
      </c>
      <c r="E7" s="205">
        <v>50750</v>
      </c>
      <c r="F7" s="205"/>
      <c r="G7" s="205"/>
      <c r="H7" s="205"/>
      <c r="I7" s="205"/>
      <c r="J7" s="205"/>
      <c r="K7" s="205"/>
      <c r="L7" s="205"/>
      <c r="M7" s="202">
        <f t="shared" si="0"/>
        <v>50750</v>
      </c>
      <c r="N7" s="655"/>
      <c r="O7" s="18"/>
      <c r="P7" s="15"/>
      <c r="Q7" s="15"/>
      <c r="R7" s="15"/>
      <c r="S7" s="15"/>
      <c r="T7" s="15"/>
      <c r="U7" s="15"/>
      <c r="V7" s="20"/>
      <c r="W7" s="19"/>
      <c r="X7" s="15"/>
      <c r="Y7" s="18"/>
      <c r="Z7" s="15"/>
      <c r="AA7" s="15"/>
      <c r="AB7" s="15"/>
      <c r="AC7" s="15"/>
      <c r="AD7" s="15"/>
      <c r="AE7" s="15"/>
      <c r="AF7" s="15"/>
      <c r="AG7" s="20"/>
      <c r="AH7" s="19"/>
      <c r="AI7" s="15"/>
      <c r="AJ7" s="18"/>
      <c r="AK7" s="15"/>
      <c r="AL7" s="15"/>
      <c r="AM7" s="15"/>
      <c r="AN7" s="15"/>
      <c r="AO7" s="15"/>
      <c r="AP7" s="15"/>
      <c r="AQ7" s="15"/>
      <c r="AR7" s="20"/>
      <c r="AS7" s="19"/>
      <c r="AT7" s="15"/>
      <c r="AU7" s="18"/>
      <c r="AV7" s="15"/>
      <c r="AW7" s="15"/>
      <c r="AX7" s="15"/>
      <c r="AY7" s="15"/>
      <c r="AZ7" s="15"/>
      <c r="BA7" s="15"/>
      <c r="BB7" s="15"/>
      <c r="BC7" s="20"/>
      <c r="BD7" s="19"/>
      <c r="BE7" s="15"/>
      <c r="BF7" s="18"/>
      <c r="BG7" s="15"/>
      <c r="BH7" s="15"/>
      <c r="BI7" s="15"/>
      <c r="BJ7" s="15"/>
      <c r="BK7" s="15"/>
      <c r="BL7" s="15"/>
      <c r="BM7" s="15"/>
      <c r="BN7" s="20"/>
      <c r="BO7" s="19"/>
      <c r="BP7" s="15"/>
      <c r="BQ7" s="18"/>
      <c r="BR7" s="15"/>
      <c r="BS7" s="15"/>
      <c r="BT7" s="15"/>
      <c r="BU7" s="15"/>
      <c r="BV7" s="15"/>
      <c r="BW7" s="15"/>
      <c r="BX7" s="15"/>
      <c r="BY7" s="20"/>
      <c r="BZ7" s="19"/>
      <c r="CA7" s="15"/>
      <c r="CB7" s="18"/>
      <c r="CC7" s="15"/>
      <c r="CD7" s="15"/>
      <c r="CE7" s="15"/>
      <c r="CF7" s="15"/>
      <c r="CG7" s="15"/>
      <c r="CH7" s="15"/>
      <c r="CI7" s="15"/>
      <c r="CJ7" s="20"/>
      <c r="CK7" s="19"/>
      <c r="CL7" s="15"/>
      <c r="CM7" s="18"/>
      <c r="CN7" s="15"/>
      <c r="CO7" s="15"/>
      <c r="CP7" s="15"/>
      <c r="CQ7" s="15"/>
      <c r="CR7" s="15"/>
      <c r="CS7" s="15"/>
      <c r="CT7" s="15"/>
      <c r="CU7" s="20"/>
      <c r="CV7" s="19"/>
      <c r="CW7" s="15"/>
      <c r="CX7" s="18"/>
      <c r="CY7" s="15"/>
      <c r="CZ7" s="15"/>
      <c r="DA7" s="15"/>
      <c r="DB7" s="15"/>
      <c r="DC7" s="15"/>
      <c r="DD7" s="15"/>
      <c r="DE7" s="15"/>
      <c r="DF7" s="20"/>
      <c r="DG7" s="19"/>
      <c r="DH7" s="15"/>
      <c r="DI7" s="18"/>
      <c r="DJ7" s="15"/>
      <c r="DK7" s="15"/>
      <c r="DL7" s="15"/>
      <c r="DM7" s="15"/>
      <c r="DN7" s="15"/>
      <c r="DO7" s="15"/>
      <c r="DP7" s="15"/>
      <c r="DQ7" s="20"/>
      <c r="DR7" s="19"/>
      <c r="DS7" s="15"/>
      <c r="DT7" s="18"/>
      <c r="DU7" s="15"/>
      <c r="DV7" s="15"/>
      <c r="DW7" s="15"/>
      <c r="DX7" s="15"/>
      <c r="DY7" s="15"/>
      <c r="DZ7" s="15"/>
      <c r="EA7" s="15"/>
      <c r="EB7" s="20"/>
      <c r="EC7" s="19"/>
      <c r="ED7" s="15"/>
      <c r="EE7" s="18"/>
      <c r="EF7" s="15"/>
      <c r="EG7" s="15"/>
      <c r="EH7" s="15"/>
      <c r="EI7" s="15"/>
      <c r="EJ7" s="15"/>
      <c r="EK7" s="15"/>
      <c r="EL7" s="15"/>
      <c r="EM7" s="20"/>
      <c r="EN7" s="19"/>
      <c r="EO7" s="15"/>
      <c r="EP7" s="18"/>
      <c r="EQ7" s="15"/>
      <c r="ER7" s="15"/>
      <c r="ES7" s="15"/>
      <c r="ET7" s="15"/>
      <c r="EU7" s="15"/>
      <c r="EV7" s="15"/>
      <c r="EW7" s="15"/>
      <c r="EX7" s="20"/>
      <c r="EY7" s="19"/>
      <c r="EZ7" s="15"/>
      <c r="FA7" s="18"/>
      <c r="FB7" s="15"/>
      <c r="FC7" s="15"/>
      <c r="FD7" s="15"/>
      <c r="FE7" s="15"/>
      <c r="FF7" s="15"/>
      <c r="FG7" s="15"/>
      <c r="FH7" s="15"/>
      <c r="FI7" s="20"/>
      <c r="FJ7" s="19"/>
      <c r="FK7" s="15"/>
      <c r="FL7" s="18"/>
      <c r="FM7" s="15"/>
      <c r="FN7" s="15"/>
      <c r="FO7" s="15"/>
      <c r="FP7" s="15"/>
      <c r="FQ7" s="15"/>
      <c r="FR7" s="15"/>
      <c r="FS7" s="15"/>
      <c r="FT7" s="20"/>
      <c r="FU7" s="19"/>
      <c r="FV7" s="15"/>
      <c r="FW7" s="18"/>
      <c r="FX7" s="15"/>
      <c r="FY7" s="15"/>
      <c r="FZ7" s="15"/>
      <c r="GA7" s="15"/>
      <c r="GB7" s="15"/>
      <c r="GC7" s="15"/>
      <c r="GD7" s="15"/>
      <c r="GE7" s="20"/>
      <c r="GF7" s="19"/>
      <c r="GG7" s="15"/>
      <c r="GH7" s="18"/>
      <c r="GI7" s="15"/>
      <c r="GJ7" s="15"/>
      <c r="GK7" s="15"/>
      <c r="GL7" s="15"/>
      <c r="GM7" s="15"/>
      <c r="GN7" s="15"/>
      <c r="GO7" s="15"/>
      <c r="GP7" s="20"/>
      <c r="GQ7" s="19"/>
      <c r="GR7" s="15"/>
      <c r="GS7" s="18"/>
      <c r="GT7" s="15"/>
      <c r="GU7" s="15"/>
      <c r="GV7" s="15"/>
      <c r="GW7" s="15"/>
      <c r="GX7" s="15"/>
      <c r="GY7" s="15"/>
      <c r="GZ7" s="15"/>
      <c r="HA7" s="20"/>
      <c r="HB7" s="19"/>
      <c r="HC7" s="15"/>
      <c r="HD7" s="18"/>
      <c r="HE7" s="15"/>
      <c r="HF7" s="15"/>
      <c r="HG7" s="15"/>
      <c r="HH7" s="15"/>
      <c r="HI7" s="15"/>
      <c r="HJ7" s="15"/>
      <c r="HK7" s="15"/>
      <c r="HL7" s="20"/>
      <c r="HM7" s="19"/>
      <c r="HN7" s="15"/>
      <c r="HO7" s="18"/>
      <c r="HP7" s="15"/>
      <c r="HQ7" s="15"/>
      <c r="HR7" s="15"/>
      <c r="HS7" s="15"/>
      <c r="HT7" s="15"/>
      <c r="HU7" s="15"/>
      <c r="HV7" s="15"/>
      <c r="HW7" s="20"/>
      <c r="HX7" s="19"/>
      <c r="HY7" s="15"/>
      <c r="HZ7" s="18"/>
      <c r="IA7" s="15"/>
      <c r="IB7" s="15"/>
      <c r="IC7" s="15"/>
      <c r="ID7" s="15"/>
      <c r="IE7" s="15"/>
      <c r="IF7" s="15"/>
      <c r="IG7" s="15"/>
      <c r="IH7" s="20"/>
      <c r="II7" s="19"/>
      <c r="IJ7" s="15"/>
      <c r="IK7" s="18"/>
      <c r="IL7" s="15"/>
    </row>
    <row r="8" spans="1:255" s="9" customFormat="1" ht="15" customHeight="1">
      <c r="A8" s="21" t="s">
        <v>393</v>
      </c>
      <c r="B8" s="28">
        <v>45046</v>
      </c>
      <c r="C8" s="33" t="s">
        <v>9</v>
      </c>
      <c r="D8" s="34" t="s">
        <v>452</v>
      </c>
      <c r="E8" s="25"/>
      <c r="F8" s="25">
        <v>199.11</v>
      </c>
      <c r="G8" s="25"/>
      <c r="H8" s="25"/>
      <c r="I8" s="25"/>
      <c r="J8" s="25"/>
      <c r="K8" s="25"/>
      <c r="L8" s="25"/>
      <c r="M8" s="31">
        <f t="shared" si="0"/>
        <v>199.11</v>
      </c>
      <c r="N8" s="656"/>
      <c r="O8" s="18"/>
      <c r="P8" s="15"/>
      <c r="Q8" s="15"/>
      <c r="R8" s="15"/>
      <c r="S8" s="15"/>
      <c r="T8" s="15"/>
      <c r="U8" s="15"/>
      <c r="V8" s="20"/>
      <c r="W8" s="19"/>
      <c r="X8" s="15"/>
      <c r="Y8" s="18"/>
      <c r="Z8" s="15"/>
      <c r="AA8" s="15"/>
      <c r="AB8" s="15"/>
      <c r="AC8" s="15"/>
      <c r="AD8" s="15"/>
      <c r="AE8" s="15"/>
      <c r="AF8" s="15"/>
      <c r="AG8" s="20"/>
      <c r="AH8" s="19"/>
      <c r="AI8" s="15"/>
      <c r="AJ8" s="18"/>
      <c r="AK8" s="15"/>
      <c r="AL8" s="15"/>
      <c r="AM8" s="15"/>
      <c r="AN8" s="15"/>
      <c r="AO8" s="15"/>
      <c r="AP8" s="15"/>
      <c r="AQ8" s="15"/>
      <c r="AR8" s="20"/>
      <c r="AS8" s="19"/>
      <c r="AT8" s="15"/>
      <c r="AU8" s="18"/>
      <c r="AV8" s="15"/>
      <c r="AW8" s="15"/>
      <c r="AX8" s="15"/>
      <c r="AY8" s="15"/>
      <c r="AZ8" s="15"/>
      <c r="BA8" s="15"/>
      <c r="BB8" s="15"/>
      <c r="BC8" s="20"/>
      <c r="BD8" s="19"/>
      <c r="BE8" s="15"/>
      <c r="BF8" s="18"/>
      <c r="BG8" s="15"/>
      <c r="BH8" s="15"/>
      <c r="BI8" s="15"/>
      <c r="BJ8" s="15"/>
      <c r="BK8" s="15"/>
      <c r="BL8" s="15"/>
      <c r="BM8" s="15"/>
      <c r="BN8" s="20"/>
      <c r="BO8" s="19"/>
      <c r="BP8" s="15"/>
      <c r="BQ8" s="18"/>
      <c r="BR8" s="15"/>
      <c r="BS8" s="15"/>
      <c r="BT8" s="15"/>
      <c r="BU8" s="15"/>
      <c r="BV8" s="15"/>
      <c r="BW8" s="15"/>
      <c r="BX8" s="15"/>
      <c r="BY8" s="20"/>
      <c r="BZ8" s="19"/>
      <c r="CA8" s="15"/>
      <c r="CB8" s="18"/>
      <c r="CC8" s="15"/>
      <c r="CD8" s="15"/>
      <c r="CE8" s="15"/>
      <c r="CF8" s="15"/>
      <c r="CG8" s="15"/>
      <c r="CH8" s="15"/>
      <c r="CI8" s="15"/>
      <c r="CJ8" s="20"/>
      <c r="CK8" s="19"/>
      <c r="CL8" s="15"/>
      <c r="CM8" s="18"/>
      <c r="CN8" s="15"/>
      <c r="CO8" s="15"/>
      <c r="CP8" s="15"/>
      <c r="CQ8" s="15"/>
      <c r="CR8" s="15"/>
      <c r="CS8" s="15"/>
      <c r="CT8" s="15"/>
      <c r="CU8" s="20"/>
      <c r="CV8" s="19"/>
      <c r="CW8" s="15"/>
      <c r="CX8" s="18"/>
      <c r="CY8" s="15"/>
      <c r="CZ8" s="15"/>
      <c r="DA8" s="15"/>
      <c r="DB8" s="15"/>
      <c r="DC8" s="15"/>
      <c r="DD8" s="15"/>
      <c r="DE8" s="15"/>
      <c r="DF8" s="20"/>
      <c r="DG8" s="19"/>
      <c r="DH8" s="15"/>
      <c r="DI8" s="18"/>
      <c r="DJ8" s="15"/>
      <c r="DK8" s="15"/>
      <c r="DL8" s="15"/>
      <c r="DM8" s="15"/>
      <c r="DN8" s="15"/>
      <c r="DO8" s="15"/>
      <c r="DP8" s="15"/>
      <c r="DQ8" s="20"/>
      <c r="DR8" s="19"/>
      <c r="DS8" s="15"/>
      <c r="DT8" s="18"/>
      <c r="DU8" s="15"/>
      <c r="DV8" s="15"/>
      <c r="DW8" s="15"/>
      <c r="DX8" s="15"/>
      <c r="DY8" s="15"/>
      <c r="DZ8" s="15"/>
      <c r="EA8" s="15"/>
      <c r="EB8" s="20"/>
      <c r="EC8" s="19"/>
      <c r="ED8" s="15"/>
      <c r="EE8" s="18"/>
      <c r="EF8" s="15"/>
      <c r="EG8" s="15"/>
      <c r="EH8" s="15"/>
      <c r="EI8" s="15"/>
      <c r="EJ8" s="15"/>
      <c r="EK8" s="15"/>
      <c r="EL8" s="15"/>
      <c r="EM8" s="20"/>
      <c r="EN8" s="19"/>
      <c r="EO8" s="15"/>
      <c r="EP8" s="18"/>
      <c r="EQ8" s="15"/>
      <c r="ER8" s="15"/>
      <c r="ES8" s="15"/>
      <c r="ET8" s="15"/>
      <c r="EU8" s="15"/>
      <c r="EV8" s="15"/>
      <c r="EW8" s="15"/>
      <c r="EX8" s="20"/>
      <c r="EY8" s="19"/>
      <c r="EZ8" s="15"/>
      <c r="FA8" s="18"/>
      <c r="FB8" s="15"/>
      <c r="FC8" s="15"/>
      <c r="FD8" s="15"/>
      <c r="FE8" s="15"/>
      <c r="FF8" s="15"/>
      <c r="FG8" s="15"/>
      <c r="FH8" s="15"/>
      <c r="FI8" s="20"/>
      <c r="FJ8" s="19"/>
      <c r="FK8" s="15"/>
      <c r="FL8" s="18"/>
      <c r="FM8" s="15"/>
      <c r="FN8" s="15"/>
      <c r="FO8" s="15"/>
      <c r="FP8" s="15"/>
      <c r="FQ8" s="15"/>
      <c r="FR8" s="15"/>
      <c r="FS8" s="15"/>
      <c r="FT8" s="20"/>
      <c r="FU8" s="19"/>
      <c r="FV8" s="15"/>
      <c r="FW8" s="18"/>
      <c r="FX8" s="15"/>
      <c r="FY8" s="15"/>
      <c r="FZ8" s="15"/>
      <c r="GA8" s="15"/>
      <c r="GB8" s="15"/>
      <c r="GC8" s="15"/>
      <c r="GD8" s="15"/>
      <c r="GE8" s="20"/>
      <c r="GF8" s="19"/>
      <c r="GG8" s="15"/>
      <c r="GH8" s="18"/>
      <c r="GI8" s="15"/>
      <c r="GJ8" s="15"/>
      <c r="GK8" s="15"/>
      <c r="GL8" s="15"/>
      <c r="GM8" s="15"/>
      <c r="GN8" s="15"/>
      <c r="GO8" s="15"/>
      <c r="GP8" s="20"/>
      <c r="GQ8" s="19"/>
      <c r="GR8" s="15"/>
      <c r="GS8" s="18"/>
      <c r="GT8" s="15"/>
      <c r="GU8" s="15"/>
      <c r="GV8" s="15"/>
      <c r="GW8" s="15"/>
      <c r="GX8" s="15"/>
      <c r="GY8" s="15"/>
      <c r="GZ8" s="15"/>
      <c r="HA8" s="20"/>
      <c r="HB8" s="19"/>
      <c r="HC8" s="15"/>
      <c r="HD8" s="18"/>
      <c r="HE8" s="15"/>
      <c r="HF8" s="15"/>
      <c r="HG8" s="15"/>
      <c r="HH8" s="15"/>
      <c r="HI8" s="15"/>
      <c r="HJ8" s="15"/>
      <c r="HK8" s="15"/>
      <c r="HL8" s="20"/>
      <c r="HM8" s="19"/>
      <c r="HN8" s="15"/>
      <c r="HO8" s="18"/>
      <c r="HP8" s="15"/>
      <c r="HQ8" s="15"/>
      <c r="HR8" s="15"/>
      <c r="HS8" s="15"/>
      <c r="HT8" s="15"/>
      <c r="HU8" s="15"/>
      <c r="HV8" s="15"/>
      <c r="HW8" s="20"/>
      <c r="HX8" s="19"/>
      <c r="HY8" s="15"/>
      <c r="HZ8" s="18"/>
      <c r="IA8" s="15"/>
      <c r="IB8" s="15"/>
      <c r="IC8" s="15"/>
      <c r="ID8" s="15"/>
      <c r="IE8" s="15"/>
      <c r="IF8" s="15"/>
      <c r="IG8" s="15"/>
      <c r="IH8" s="20"/>
      <c r="II8" s="19"/>
      <c r="IJ8" s="15"/>
      <c r="IK8" s="18"/>
      <c r="IL8" s="15"/>
    </row>
    <row r="9" spans="1:255" s="10" customFormat="1" ht="15" customHeight="1">
      <c r="A9" s="21" t="s">
        <v>234</v>
      </c>
      <c r="B9" s="199">
        <v>45064</v>
      </c>
      <c r="C9" s="200" t="s">
        <v>475</v>
      </c>
      <c r="D9" s="536" t="s">
        <v>451</v>
      </c>
      <c r="E9" s="205"/>
      <c r="F9" s="205"/>
      <c r="G9" s="205"/>
      <c r="H9" s="205"/>
      <c r="I9" s="205"/>
      <c r="J9" s="205"/>
      <c r="K9" s="205"/>
      <c r="L9" s="205">
        <v>4961.43</v>
      </c>
      <c r="M9" s="202">
        <f t="shared" si="0"/>
        <v>4961.43</v>
      </c>
      <c r="N9" s="653"/>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row>
    <row r="10" spans="1:255" s="9" customFormat="1" ht="15" customHeight="1">
      <c r="A10" s="21" t="s">
        <v>237</v>
      </c>
      <c r="B10" s="28">
        <v>45068</v>
      </c>
      <c r="C10" s="33" t="s">
        <v>446</v>
      </c>
      <c r="D10" s="34" t="s">
        <v>447</v>
      </c>
      <c r="E10" s="25"/>
      <c r="F10" s="25"/>
      <c r="G10" s="25">
        <v>32</v>
      </c>
      <c r="H10" s="25"/>
      <c r="I10" s="25"/>
      <c r="J10" s="25"/>
      <c r="K10" s="25"/>
      <c r="L10" s="25"/>
      <c r="M10" s="31">
        <f t="shared" si="0"/>
        <v>32</v>
      </c>
      <c r="N10" s="657" t="s">
        <v>550</v>
      </c>
      <c r="O10" s="691"/>
      <c r="P10" s="12"/>
      <c r="Q10" s="12"/>
      <c r="R10" s="12"/>
      <c r="S10" s="12"/>
      <c r="T10" s="12"/>
      <c r="U10" s="12"/>
      <c r="V10" s="11"/>
    </row>
    <row r="11" spans="1:255" s="9" customFormat="1" ht="15" customHeight="1">
      <c r="A11" s="21" t="s">
        <v>238</v>
      </c>
      <c r="B11" s="199">
        <v>45069</v>
      </c>
      <c r="C11" s="200" t="s">
        <v>446</v>
      </c>
      <c r="D11" s="201" t="s">
        <v>447</v>
      </c>
      <c r="E11" s="205"/>
      <c r="F11" s="205"/>
      <c r="G11" s="205">
        <v>20</v>
      </c>
      <c r="H11" s="205"/>
      <c r="I11" s="205"/>
      <c r="J11" s="205"/>
      <c r="K11" s="205"/>
      <c r="L11" s="205"/>
      <c r="M11" s="202">
        <f t="shared" si="0"/>
        <v>20</v>
      </c>
      <c r="N11" s="653" t="s">
        <v>549</v>
      </c>
    </row>
    <row r="12" spans="1:255" s="9" customFormat="1" ht="15" customHeight="1">
      <c r="A12" s="21" t="s">
        <v>239</v>
      </c>
      <c r="B12" s="28">
        <v>45077</v>
      </c>
      <c r="C12" s="537" t="s">
        <v>9</v>
      </c>
      <c r="D12" s="34" t="s">
        <v>452</v>
      </c>
      <c r="E12" s="25"/>
      <c r="F12" s="25">
        <v>206.23</v>
      </c>
      <c r="G12" s="25"/>
      <c r="H12" s="25"/>
      <c r="I12" s="25"/>
      <c r="J12" s="25"/>
      <c r="K12" s="25"/>
      <c r="L12" s="25"/>
      <c r="M12" s="31">
        <f t="shared" si="0"/>
        <v>206.23</v>
      </c>
      <c r="N12" s="657"/>
    </row>
    <row r="13" spans="1:255" s="9" customFormat="1" ht="15" customHeight="1">
      <c r="A13" s="21" t="s">
        <v>231</v>
      </c>
      <c r="B13" s="199">
        <v>45107</v>
      </c>
      <c r="C13" s="200" t="s">
        <v>9</v>
      </c>
      <c r="D13" s="201" t="s">
        <v>447</v>
      </c>
      <c r="E13" s="205"/>
      <c r="F13" s="205">
        <v>317.57</v>
      </c>
      <c r="G13" s="205"/>
      <c r="H13" s="205"/>
      <c r="I13" s="205"/>
      <c r="J13" s="205"/>
      <c r="K13" s="205"/>
      <c r="L13" s="205"/>
      <c r="M13" s="202">
        <f t="shared" si="0"/>
        <v>317.57</v>
      </c>
      <c r="N13" s="653"/>
    </row>
    <row r="14" spans="1:255" s="10" customFormat="1" ht="15" customHeight="1">
      <c r="A14" s="21" t="s">
        <v>240</v>
      </c>
      <c r="B14" s="28">
        <v>45107</v>
      </c>
      <c r="C14" s="33" t="s">
        <v>9</v>
      </c>
      <c r="D14" s="34" t="s">
        <v>452</v>
      </c>
      <c r="E14" s="25"/>
      <c r="F14" s="25">
        <v>200.05</v>
      </c>
      <c r="G14" s="25"/>
      <c r="H14" s="25"/>
      <c r="I14" s="25"/>
      <c r="J14" s="25"/>
      <c r="K14" s="25"/>
      <c r="L14" s="25"/>
      <c r="M14" s="402">
        <f t="shared" si="0"/>
        <v>200.05</v>
      </c>
      <c r="N14" s="657"/>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row>
    <row r="15" spans="1:255" s="9" customFormat="1" ht="15" customHeight="1">
      <c r="A15" s="21" t="s">
        <v>394</v>
      </c>
      <c r="B15" s="199">
        <v>45134</v>
      </c>
      <c r="C15" s="203" t="s">
        <v>532</v>
      </c>
      <c r="D15" s="201" t="s">
        <v>447</v>
      </c>
      <c r="E15" s="205"/>
      <c r="F15" s="205"/>
      <c r="G15" s="205"/>
      <c r="H15" s="205"/>
      <c r="I15" s="205"/>
      <c r="J15" s="205">
        <v>70</v>
      </c>
      <c r="K15" s="205"/>
      <c r="L15" s="205"/>
      <c r="M15" s="202">
        <f t="shared" si="0"/>
        <v>70</v>
      </c>
      <c r="N15" s="653"/>
    </row>
    <row r="16" spans="1:255" s="10" customFormat="1" ht="15" customHeight="1">
      <c r="A16" s="21" t="s">
        <v>230</v>
      </c>
      <c r="B16" s="28">
        <v>45138</v>
      </c>
      <c r="C16" s="33" t="s">
        <v>9</v>
      </c>
      <c r="D16" s="34" t="s">
        <v>452</v>
      </c>
      <c r="E16" s="25"/>
      <c r="F16" s="25">
        <v>207.19</v>
      </c>
      <c r="G16" s="25"/>
      <c r="H16" s="25"/>
      <c r="I16" s="25"/>
      <c r="J16" s="25"/>
      <c r="K16" s="25"/>
      <c r="L16" s="25"/>
      <c r="M16" s="402">
        <f t="shared" si="0"/>
        <v>207.19</v>
      </c>
      <c r="N16" s="657"/>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row>
    <row r="17" spans="1:255" s="9" customFormat="1" ht="15" customHeight="1">
      <c r="A17" s="21" t="s">
        <v>233</v>
      </c>
      <c r="B17" s="199">
        <v>45156</v>
      </c>
      <c r="C17" s="204" t="s">
        <v>446</v>
      </c>
      <c r="D17" s="201" t="s">
        <v>447</v>
      </c>
      <c r="E17" s="205"/>
      <c r="F17" s="205"/>
      <c r="G17" s="205">
        <v>12</v>
      </c>
      <c r="H17" s="205"/>
      <c r="I17" s="205"/>
      <c r="J17" s="205"/>
      <c r="K17" s="205"/>
      <c r="L17" s="205"/>
      <c r="M17" s="202">
        <f t="shared" si="0"/>
        <v>12</v>
      </c>
      <c r="N17" s="653" t="s">
        <v>547</v>
      </c>
    </row>
    <row r="18" spans="1:255" s="9" customFormat="1" ht="15" customHeight="1">
      <c r="A18" s="21" t="s">
        <v>241</v>
      </c>
      <c r="B18" s="28">
        <v>45161</v>
      </c>
      <c r="C18" s="33" t="s">
        <v>446</v>
      </c>
      <c r="D18" s="34" t="s">
        <v>447</v>
      </c>
      <c r="E18" s="25"/>
      <c r="F18" s="25"/>
      <c r="G18" s="25">
        <v>20</v>
      </c>
      <c r="H18" s="25"/>
      <c r="I18" s="25"/>
      <c r="J18" s="25"/>
      <c r="K18" s="25"/>
      <c r="L18" s="35"/>
      <c r="M18" s="402">
        <f t="shared" si="0"/>
        <v>20</v>
      </c>
      <c r="N18" s="657" t="s">
        <v>548</v>
      </c>
      <c r="O18" s="11"/>
      <c r="P18" s="11"/>
      <c r="Q18" s="11">
        <f>SUM(G4:G18)</f>
        <v>128</v>
      </c>
      <c r="R18" s="11"/>
      <c r="S18" s="11"/>
      <c r="T18" s="11"/>
      <c r="U18" s="11"/>
      <c r="V18" s="11"/>
    </row>
    <row r="19" spans="1:255" s="9" customFormat="1" ht="14.25" customHeight="1">
      <c r="A19" s="21" t="s">
        <v>242</v>
      </c>
      <c r="B19" s="199">
        <v>45163</v>
      </c>
      <c r="C19" s="204" t="s">
        <v>551</v>
      </c>
      <c r="D19" s="201" t="s">
        <v>451</v>
      </c>
      <c r="E19" s="205"/>
      <c r="F19" s="205"/>
      <c r="G19" s="205"/>
      <c r="H19" s="205"/>
      <c r="I19" s="205"/>
      <c r="J19" s="205"/>
      <c r="K19" s="205">
        <v>4500</v>
      </c>
      <c r="L19" s="205"/>
      <c r="M19" s="202">
        <f t="shared" si="0"/>
        <v>4500</v>
      </c>
      <c r="N19" s="653"/>
      <c r="O19" s="11"/>
      <c r="P19" s="11"/>
      <c r="Q19" s="11"/>
      <c r="R19" s="11"/>
      <c r="S19" s="11"/>
      <c r="T19" s="11"/>
      <c r="U19" s="11"/>
      <c r="V19" s="11"/>
    </row>
    <row r="20" spans="1:255" s="9" customFormat="1" ht="15" customHeight="1">
      <c r="A20" s="21" t="s">
        <v>232</v>
      </c>
      <c r="B20" s="28">
        <v>45168</v>
      </c>
      <c r="C20" s="33" t="s">
        <v>552</v>
      </c>
      <c r="D20" s="34" t="s">
        <v>451</v>
      </c>
      <c r="E20" s="25"/>
      <c r="F20" s="25"/>
      <c r="G20" s="25"/>
      <c r="H20" s="25"/>
      <c r="I20" s="25"/>
      <c r="J20" s="25">
        <v>5000</v>
      </c>
      <c r="K20" s="25"/>
      <c r="L20" s="35"/>
      <c r="M20" s="31">
        <f t="shared" si="0"/>
        <v>5000</v>
      </c>
      <c r="N20" s="657"/>
      <c r="O20" s="11"/>
      <c r="P20" s="11"/>
      <c r="Q20" s="11"/>
      <c r="R20" s="11"/>
      <c r="S20" s="11"/>
      <c r="T20" s="11"/>
      <c r="U20" s="11"/>
      <c r="V20" s="11"/>
    </row>
    <row r="21" spans="1:255" s="9" customFormat="1" ht="15" hidden="1" customHeight="1">
      <c r="A21" s="21" t="s">
        <v>243</v>
      </c>
      <c r="B21" s="199"/>
      <c r="C21" s="204"/>
      <c r="D21" s="201"/>
      <c r="E21" s="205"/>
      <c r="F21" s="205"/>
      <c r="G21" s="205"/>
      <c r="H21" s="205"/>
      <c r="I21" s="205"/>
      <c r="J21" s="205"/>
      <c r="K21" s="205"/>
      <c r="L21" s="205"/>
      <c r="M21" s="202">
        <f t="shared" si="0"/>
        <v>0</v>
      </c>
      <c r="N21" s="653"/>
      <c r="O21" s="11"/>
      <c r="P21" s="11"/>
      <c r="Q21" s="11"/>
      <c r="R21" s="11"/>
      <c r="S21" s="11"/>
      <c r="T21" s="11"/>
      <c r="U21" s="11"/>
      <c r="V21" s="11"/>
    </row>
    <row r="22" spans="1:255" s="9" customFormat="1" ht="15" hidden="1" customHeight="1">
      <c r="A22" s="21" t="s">
        <v>244</v>
      </c>
      <c r="B22" s="28"/>
      <c r="C22" s="32"/>
      <c r="D22" s="34"/>
      <c r="E22" s="25"/>
      <c r="F22" s="25"/>
      <c r="G22" s="25"/>
      <c r="H22" s="25"/>
      <c r="I22" s="25"/>
      <c r="J22" s="25"/>
      <c r="K22" s="25"/>
      <c r="L22" s="35"/>
      <c r="M22" s="31">
        <f t="shared" si="0"/>
        <v>0</v>
      </c>
      <c r="N22" s="657"/>
      <c r="O22" s="11"/>
      <c r="P22" s="11"/>
      <c r="Q22" s="11"/>
      <c r="R22" s="11"/>
      <c r="S22" s="11"/>
      <c r="T22" s="11"/>
      <c r="U22" s="11"/>
      <c r="V22" s="11"/>
    </row>
    <row r="23" spans="1:255" s="9" customFormat="1" ht="15" hidden="1" customHeight="1">
      <c r="A23" s="21" t="s">
        <v>245</v>
      </c>
      <c r="B23" s="199"/>
      <c r="C23" s="204"/>
      <c r="D23" s="201"/>
      <c r="E23" s="205"/>
      <c r="F23" s="205"/>
      <c r="G23" s="205"/>
      <c r="H23" s="205"/>
      <c r="I23" s="205"/>
      <c r="J23" s="205"/>
      <c r="K23" s="205"/>
      <c r="L23" s="205"/>
      <c r="M23" s="202">
        <f t="shared" si="0"/>
        <v>0</v>
      </c>
      <c r="N23" s="653"/>
      <c r="O23" s="11"/>
      <c r="P23" s="11"/>
      <c r="Q23" s="11"/>
      <c r="R23" s="11"/>
      <c r="S23" s="11"/>
      <c r="T23" s="11"/>
      <c r="U23" s="11"/>
      <c r="V23" s="11"/>
    </row>
    <row r="24" spans="1:255" s="10" customFormat="1" ht="15" hidden="1" customHeight="1">
      <c r="A24" s="21" t="s">
        <v>407</v>
      </c>
      <c r="B24" s="28"/>
      <c r="C24" s="537"/>
      <c r="D24" s="34"/>
      <c r="E24" s="25"/>
      <c r="F24" s="25"/>
      <c r="G24" s="25"/>
      <c r="H24" s="25"/>
      <c r="I24" s="25"/>
      <c r="J24" s="25"/>
      <c r="K24" s="25"/>
      <c r="L24" s="25"/>
      <c r="M24" s="402">
        <f>SUM(E24:L24)</f>
        <v>0</v>
      </c>
      <c r="N24" s="657"/>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row>
    <row r="25" spans="1:255" s="9" customFormat="1" ht="15" hidden="1" customHeight="1">
      <c r="A25" s="21" t="s">
        <v>246</v>
      </c>
      <c r="B25" s="199"/>
      <c r="C25" s="204"/>
      <c r="D25" s="201"/>
      <c r="E25" s="205"/>
      <c r="F25" s="205"/>
      <c r="G25" s="205"/>
      <c r="H25" s="205"/>
      <c r="I25" s="205"/>
      <c r="J25" s="205"/>
      <c r="K25" s="205"/>
      <c r="L25" s="205"/>
      <c r="M25" s="202">
        <f t="shared" si="0"/>
        <v>0</v>
      </c>
      <c r="N25" s="653"/>
      <c r="O25" s="11"/>
      <c r="P25" s="11"/>
      <c r="Q25" s="11"/>
      <c r="R25" s="11"/>
      <c r="S25" s="11"/>
      <c r="T25" s="11"/>
      <c r="U25" s="11"/>
      <c r="V25" s="11"/>
    </row>
    <row r="26" spans="1:255" s="9" customFormat="1" ht="15" hidden="1" customHeight="1">
      <c r="A26" s="21" t="s">
        <v>247</v>
      </c>
      <c r="B26" s="28"/>
      <c r="C26" s="32"/>
      <c r="D26" s="34"/>
      <c r="E26" s="25"/>
      <c r="F26" s="25"/>
      <c r="G26" s="25"/>
      <c r="H26" s="25"/>
      <c r="I26" s="25"/>
      <c r="J26" s="25"/>
      <c r="K26" s="25"/>
      <c r="L26" s="25"/>
      <c r="M26" s="402">
        <f t="shared" si="0"/>
        <v>0</v>
      </c>
      <c r="N26" s="657"/>
      <c r="O26" s="11"/>
      <c r="P26" s="11"/>
      <c r="Q26" s="11"/>
      <c r="R26" s="11"/>
      <c r="S26" s="11"/>
      <c r="T26" s="11"/>
      <c r="U26" s="11"/>
      <c r="V26" s="11"/>
    </row>
    <row r="27" spans="1:255" s="9" customFormat="1" ht="15" hidden="1" customHeight="1">
      <c r="A27" s="21" t="s">
        <v>248</v>
      </c>
      <c r="B27" s="199"/>
      <c r="C27" s="204"/>
      <c r="D27" s="201"/>
      <c r="E27" s="205"/>
      <c r="F27" s="205"/>
      <c r="G27" s="205"/>
      <c r="H27" s="205"/>
      <c r="I27" s="205"/>
      <c r="J27" s="205"/>
      <c r="K27" s="205"/>
      <c r="L27" s="205"/>
      <c r="M27" s="202">
        <f t="shared" si="0"/>
        <v>0</v>
      </c>
      <c r="N27" s="653"/>
      <c r="O27" s="105"/>
      <c r="P27"/>
      <c r="Q27" s="93"/>
      <c r="R27" s="11"/>
      <c r="S27" s="11"/>
      <c r="T27" s="11"/>
      <c r="U27" s="11"/>
      <c r="V27" s="11"/>
    </row>
    <row r="28" spans="1:255" s="9" customFormat="1" ht="15" hidden="1" customHeight="1">
      <c r="A28" s="21" t="s">
        <v>249</v>
      </c>
      <c r="B28" s="28"/>
      <c r="C28" s="32"/>
      <c r="D28" s="34"/>
      <c r="E28" s="25"/>
      <c r="F28" s="25"/>
      <c r="G28" s="25"/>
      <c r="H28" s="25"/>
      <c r="I28" s="25"/>
      <c r="J28" s="25"/>
      <c r="K28" s="25"/>
      <c r="L28" s="25"/>
      <c r="M28" s="402">
        <f t="shared" si="0"/>
        <v>0</v>
      </c>
      <c r="N28" s="657"/>
      <c r="O28" s="105"/>
      <c r="P28"/>
      <c r="Q28" s="93"/>
      <c r="R28" s="11"/>
      <c r="S28" s="11"/>
      <c r="T28" s="11"/>
      <c r="U28" s="11"/>
      <c r="V28" s="11"/>
    </row>
    <row r="29" spans="1:255" s="9" customFormat="1" ht="15" hidden="1" customHeight="1">
      <c r="A29" s="21" t="s">
        <v>250</v>
      </c>
      <c r="B29" s="199"/>
      <c r="C29" s="204"/>
      <c r="D29" s="201"/>
      <c r="E29" s="205"/>
      <c r="F29" s="205"/>
      <c r="G29" s="205"/>
      <c r="H29" s="205"/>
      <c r="I29" s="205"/>
      <c r="J29" s="205"/>
      <c r="K29" s="205"/>
      <c r="L29" s="205"/>
      <c r="M29" s="202">
        <f t="shared" si="0"/>
        <v>0</v>
      </c>
      <c r="N29" s="653"/>
      <c r="O29" s="105"/>
      <c r="P29"/>
      <c r="Q29" s="93"/>
      <c r="R29" s="11"/>
      <c r="S29" s="11"/>
      <c r="T29" s="11"/>
      <c r="U29" s="11"/>
      <c r="V29" s="11"/>
    </row>
    <row r="30" spans="1:255" s="9" customFormat="1" ht="15" hidden="1" customHeight="1">
      <c r="A30" s="21" t="s">
        <v>408</v>
      </c>
      <c r="B30" s="28"/>
      <c r="C30" s="32"/>
      <c r="D30" s="34"/>
      <c r="E30" s="25"/>
      <c r="F30" s="25"/>
      <c r="G30" s="25"/>
      <c r="H30" s="25"/>
      <c r="I30" s="25"/>
      <c r="J30" s="25"/>
      <c r="K30" s="25"/>
      <c r="L30" s="25"/>
      <c r="M30" s="402">
        <f t="shared" si="0"/>
        <v>0</v>
      </c>
      <c r="N30" s="657"/>
      <c r="O30" s="105"/>
      <c r="P30"/>
      <c r="Q30" s="93"/>
      <c r="R30" s="11"/>
      <c r="S30" s="11"/>
      <c r="T30" s="11"/>
      <c r="U30" s="11"/>
      <c r="V30" s="11"/>
    </row>
    <row r="31" spans="1:255" s="9" customFormat="1" ht="15" hidden="1" customHeight="1">
      <c r="A31" s="21" t="s">
        <v>391</v>
      </c>
      <c r="B31" s="199"/>
      <c r="C31" s="204"/>
      <c r="D31" s="201"/>
      <c r="E31" s="205"/>
      <c r="F31" s="205"/>
      <c r="G31" s="205"/>
      <c r="H31" s="205"/>
      <c r="I31" s="205"/>
      <c r="J31" s="205"/>
      <c r="K31" s="205"/>
      <c r="L31" s="205"/>
      <c r="M31" s="202">
        <f t="shared" si="0"/>
        <v>0</v>
      </c>
      <c r="N31" s="653" t="s">
        <v>406</v>
      </c>
      <c r="O31" s="105"/>
      <c r="P31"/>
      <c r="Q31" s="93"/>
      <c r="R31" s="11"/>
      <c r="S31" s="11"/>
      <c r="T31" s="11"/>
      <c r="U31" s="11"/>
      <c r="V31" s="11"/>
    </row>
    <row r="32" spans="1:255" s="9" customFormat="1" ht="15" hidden="1" customHeight="1">
      <c r="A32" s="21" t="s">
        <v>409</v>
      </c>
      <c r="B32" s="28"/>
      <c r="C32" s="32"/>
      <c r="D32" s="34"/>
      <c r="E32" s="25"/>
      <c r="F32" s="25"/>
      <c r="G32" s="25"/>
      <c r="H32" s="25"/>
      <c r="I32" s="25"/>
      <c r="J32" s="25"/>
      <c r="K32" s="25"/>
      <c r="L32" s="25"/>
      <c r="M32" s="402">
        <f t="shared" si="0"/>
        <v>0</v>
      </c>
      <c r="N32" s="657" t="s">
        <v>405</v>
      </c>
      <c r="O32" s="105"/>
      <c r="P32"/>
      <c r="Q32" s="93"/>
      <c r="R32" s="11"/>
      <c r="S32" s="11"/>
      <c r="T32" s="11"/>
      <c r="U32" s="11"/>
      <c r="V32" s="11"/>
    </row>
    <row r="33" spans="1:22" s="9" customFormat="1" ht="15" hidden="1" customHeight="1">
      <c r="A33" s="21" t="s">
        <v>410</v>
      </c>
      <c r="B33" s="199"/>
      <c r="C33" s="204"/>
      <c r="D33" s="201"/>
      <c r="E33" s="205"/>
      <c r="F33" s="205"/>
      <c r="G33" s="205"/>
      <c r="H33" s="205"/>
      <c r="I33" s="205"/>
      <c r="J33" s="205"/>
      <c r="K33" s="205"/>
      <c r="L33" s="205"/>
      <c r="M33" s="202">
        <f t="shared" si="0"/>
        <v>0</v>
      </c>
      <c r="N33" s="653"/>
      <c r="O33" s="105"/>
      <c r="P33"/>
      <c r="Q33" s="93"/>
      <c r="R33" s="11"/>
      <c r="S33" s="11"/>
      <c r="T33" s="11"/>
      <c r="U33" s="11"/>
      <c r="V33" s="11"/>
    </row>
    <row r="34" spans="1:22" s="9" customFormat="1" ht="15" hidden="1" customHeight="1">
      <c r="A34" s="21"/>
      <c r="B34" s="28"/>
      <c r="C34" s="32"/>
      <c r="D34" s="34"/>
      <c r="E34" s="25"/>
      <c r="F34" s="25"/>
      <c r="G34" s="25"/>
      <c r="H34" s="25"/>
      <c r="I34" s="25"/>
      <c r="J34" s="25"/>
      <c r="K34" s="25"/>
      <c r="L34" s="25"/>
      <c r="M34" s="402">
        <f t="shared" si="0"/>
        <v>0</v>
      </c>
      <c r="N34" s="657"/>
      <c r="O34" s="105"/>
      <c r="P34"/>
      <c r="Q34" s="93"/>
      <c r="R34" s="11"/>
      <c r="S34" s="11"/>
      <c r="T34" s="11"/>
      <c r="U34" s="11"/>
      <c r="V34" s="11"/>
    </row>
    <row r="35" spans="1:22" s="9" customFormat="1" ht="15" hidden="1" customHeight="1">
      <c r="A35" s="9" t="s">
        <v>411</v>
      </c>
      <c r="B35" s="199"/>
      <c r="C35" s="204"/>
      <c r="D35" s="201"/>
      <c r="E35" s="205"/>
      <c r="F35" s="205"/>
      <c r="G35" s="205"/>
      <c r="H35" s="205"/>
      <c r="I35" s="205"/>
      <c r="J35" s="205"/>
      <c r="K35" s="205"/>
      <c r="L35" s="205"/>
      <c r="M35" s="202">
        <f t="shared" si="0"/>
        <v>0</v>
      </c>
      <c r="N35" s="653" t="s">
        <v>412</v>
      </c>
      <c r="O35" s="105"/>
      <c r="P35"/>
      <c r="Q35" s="94"/>
      <c r="R35" s="11"/>
      <c r="S35" s="11"/>
      <c r="T35" s="11"/>
      <c r="U35" s="11"/>
      <c r="V35" s="11"/>
    </row>
    <row r="36" spans="1:22" s="9" customFormat="1" ht="15" hidden="1" customHeight="1">
      <c r="B36" s="28"/>
      <c r="C36" s="32"/>
      <c r="D36" s="34"/>
      <c r="E36" s="25"/>
      <c r="F36" s="25"/>
      <c r="G36" s="25"/>
      <c r="H36" s="25"/>
      <c r="I36" s="25"/>
      <c r="J36" s="25"/>
      <c r="K36" s="25"/>
      <c r="L36" s="25"/>
      <c r="M36" s="402">
        <f t="shared" si="0"/>
        <v>0</v>
      </c>
      <c r="N36" s="657"/>
      <c r="O36" s="105"/>
      <c r="P36"/>
      <c r="Q36" s="94"/>
      <c r="R36" s="11"/>
      <c r="S36" s="11"/>
      <c r="T36" s="11"/>
      <c r="U36" s="11"/>
      <c r="V36" s="11"/>
    </row>
    <row r="37" spans="1:22" s="9" customFormat="1" ht="15" hidden="1" customHeight="1">
      <c r="B37" s="199"/>
      <c r="C37" s="204"/>
      <c r="D37" s="201"/>
      <c r="E37" s="205"/>
      <c r="F37" s="205"/>
      <c r="G37" s="205"/>
      <c r="H37" s="205"/>
      <c r="I37" s="205"/>
      <c r="J37" s="205"/>
      <c r="K37" s="205"/>
      <c r="L37" s="205"/>
      <c r="M37" s="202">
        <f t="shared" si="0"/>
        <v>0</v>
      </c>
      <c r="N37" s="653"/>
      <c r="O37" s="105"/>
      <c r="P37"/>
      <c r="Q37" s="94"/>
      <c r="R37" s="11"/>
      <c r="S37" s="11"/>
      <c r="T37" s="11"/>
      <c r="U37" s="11"/>
      <c r="V37" s="11"/>
    </row>
    <row r="38" spans="1:22" s="9" customFormat="1" ht="15" customHeight="1">
      <c r="B38" s="199">
        <v>45169</v>
      </c>
      <c r="C38" s="204" t="s">
        <v>9</v>
      </c>
      <c r="D38" s="201" t="s">
        <v>452</v>
      </c>
      <c r="E38" s="205"/>
      <c r="F38" s="205">
        <v>212.23</v>
      </c>
      <c r="G38" s="205"/>
      <c r="H38" s="205"/>
      <c r="I38" s="205"/>
      <c r="J38" s="205"/>
      <c r="K38" s="205"/>
      <c r="L38" s="205"/>
      <c r="M38" s="202">
        <f t="shared" si="0"/>
        <v>212.23</v>
      </c>
      <c r="N38" s="653"/>
      <c r="O38" s="105"/>
      <c r="P38"/>
      <c r="Q38" s="94"/>
      <c r="R38" s="11"/>
      <c r="S38" s="11"/>
      <c r="T38" s="11"/>
      <c r="U38" s="11"/>
      <c r="V38" s="11"/>
    </row>
    <row r="39" spans="1:22" s="9" customFormat="1" ht="15" customHeight="1">
      <c r="B39" s="28">
        <v>45199</v>
      </c>
      <c r="C39" s="33" t="s">
        <v>9</v>
      </c>
      <c r="D39" s="34" t="s">
        <v>447</v>
      </c>
      <c r="E39" s="25"/>
      <c r="F39" s="25">
        <v>437.85</v>
      </c>
      <c r="G39" s="25"/>
      <c r="H39" s="25"/>
      <c r="I39" s="25"/>
      <c r="J39" s="25"/>
      <c r="K39" s="25"/>
      <c r="L39" s="25"/>
      <c r="M39" s="402">
        <f t="shared" si="0"/>
        <v>437.85</v>
      </c>
      <c r="N39" s="657"/>
      <c r="O39" s="4"/>
      <c r="P39" s="4"/>
      <c r="Q39" s="4"/>
      <c r="R39" s="11"/>
      <c r="S39" s="11"/>
      <c r="T39" s="11"/>
      <c r="U39" s="11"/>
      <c r="V39" s="11"/>
    </row>
    <row r="40" spans="1:22" s="9" customFormat="1" ht="15" customHeight="1">
      <c r="B40" s="199">
        <v>45199</v>
      </c>
      <c r="C40" s="204" t="s">
        <v>9</v>
      </c>
      <c r="D40" s="201" t="s">
        <v>452</v>
      </c>
      <c r="E40" s="205"/>
      <c r="F40" s="205">
        <v>269.83</v>
      </c>
      <c r="G40" s="205"/>
      <c r="H40" s="205"/>
      <c r="I40" s="205"/>
      <c r="J40" s="205"/>
      <c r="K40" s="205"/>
      <c r="L40" s="205"/>
      <c r="M40" s="202">
        <f t="shared" si="0"/>
        <v>269.83</v>
      </c>
      <c r="N40" s="653"/>
      <c r="O40" s="4"/>
      <c r="P40" s="4"/>
      <c r="Q40" s="4"/>
      <c r="R40" s="11"/>
      <c r="S40" s="11"/>
      <c r="T40" s="11"/>
      <c r="U40" s="11"/>
      <c r="V40" s="11"/>
    </row>
    <row r="41" spans="1:22" s="9" customFormat="1" ht="15" customHeight="1">
      <c r="B41" s="28">
        <v>45204</v>
      </c>
      <c r="C41" s="33" t="s">
        <v>446</v>
      </c>
      <c r="D41" s="34" t="s">
        <v>447</v>
      </c>
      <c r="E41" s="25"/>
      <c r="F41" s="25"/>
      <c r="G41" s="25">
        <v>12</v>
      </c>
      <c r="H41" s="25"/>
      <c r="I41" s="25"/>
      <c r="J41" s="25"/>
      <c r="K41" s="25"/>
      <c r="L41" s="25"/>
      <c r="M41" s="402">
        <f t="shared" si="0"/>
        <v>12</v>
      </c>
      <c r="N41" s="657" t="s">
        <v>563</v>
      </c>
      <c r="O41" s="4"/>
      <c r="P41" s="4"/>
      <c r="Q41" s="4"/>
      <c r="R41" s="11"/>
      <c r="S41" s="11"/>
      <c r="T41" s="11"/>
      <c r="U41" s="11"/>
      <c r="V41" s="11"/>
    </row>
    <row r="42" spans="1:22" s="9" customFormat="1" ht="15" customHeight="1">
      <c r="B42" s="199">
        <v>45204</v>
      </c>
      <c r="C42" s="204" t="s">
        <v>446</v>
      </c>
      <c r="D42" s="201" t="s">
        <v>447</v>
      </c>
      <c r="E42" s="205"/>
      <c r="F42" s="205"/>
      <c r="G42" s="205">
        <v>12</v>
      </c>
      <c r="H42" s="205"/>
      <c r="I42" s="205"/>
      <c r="J42" s="205"/>
      <c r="K42" s="205"/>
      <c r="L42" s="205"/>
      <c r="M42" s="202">
        <f t="shared" si="0"/>
        <v>12</v>
      </c>
      <c r="N42" s="653" t="s">
        <v>564</v>
      </c>
      <c r="O42" s="4"/>
      <c r="P42" s="4"/>
      <c r="Q42" s="4"/>
      <c r="R42" s="11"/>
      <c r="S42" s="11"/>
      <c r="T42" s="11"/>
      <c r="U42" s="11"/>
      <c r="V42" s="11"/>
    </row>
    <row r="43" spans="1:22" s="9" customFormat="1" ht="15" customHeight="1">
      <c r="B43" s="28">
        <v>45204</v>
      </c>
      <c r="C43" s="33" t="s">
        <v>446</v>
      </c>
      <c r="D43" s="34" t="s">
        <v>447</v>
      </c>
      <c r="E43" s="25"/>
      <c r="F43" s="25"/>
      <c r="G43" s="25">
        <v>20</v>
      </c>
      <c r="H43" s="25"/>
      <c r="I43" s="25"/>
      <c r="J43" s="25"/>
      <c r="K43" s="25"/>
      <c r="L43" s="25"/>
      <c r="M43" s="402">
        <f t="shared" si="0"/>
        <v>20</v>
      </c>
      <c r="N43" s="657" t="s">
        <v>565</v>
      </c>
      <c r="O43" s="4"/>
      <c r="P43" s="4"/>
      <c r="Q43" s="4"/>
      <c r="R43" s="11"/>
      <c r="S43" s="11"/>
      <c r="T43" s="11"/>
      <c r="U43" s="11"/>
      <c r="V43" s="11"/>
    </row>
    <row r="44" spans="1:22" s="9" customFormat="1" ht="15" customHeight="1">
      <c r="B44" s="199">
        <v>45204</v>
      </c>
      <c r="C44" s="204" t="s">
        <v>446</v>
      </c>
      <c r="D44" s="201" t="s">
        <v>447</v>
      </c>
      <c r="E44" s="205"/>
      <c r="F44" s="205"/>
      <c r="G44" s="205">
        <v>12</v>
      </c>
      <c r="H44" s="205"/>
      <c r="I44" s="205"/>
      <c r="J44" s="205"/>
      <c r="K44" s="205"/>
      <c r="L44" s="205"/>
      <c r="M44" s="202">
        <f t="shared" si="0"/>
        <v>12</v>
      </c>
      <c r="N44" s="653" t="s">
        <v>448</v>
      </c>
      <c r="O44" s="4"/>
      <c r="P44" s="4"/>
      <c r="Q44" s="4"/>
      <c r="R44" s="11"/>
      <c r="S44" s="11"/>
      <c r="T44" s="11"/>
      <c r="U44" s="11"/>
      <c r="V44" s="11"/>
    </row>
    <row r="45" spans="1:22" s="9" customFormat="1" ht="15" customHeight="1">
      <c r="B45" s="28">
        <v>45204</v>
      </c>
      <c r="C45" s="33" t="s">
        <v>446</v>
      </c>
      <c r="D45" s="34" t="s">
        <v>447</v>
      </c>
      <c r="E45" s="25"/>
      <c r="F45" s="25"/>
      <c r="G45" s="25">
        <v>20</v>
      </c>
      <c r="H45" s="25"/>
      <c r="I45" s="25"/>
      <c r="J45" s="25"/>
      <c r="K45" s="25"/>
      <c r="L45" s="25"/>
      <c r="M45" s="402">
        <f t="shared" si="0"/>
        <v>20</v>
      </c>
      <c r="N45" s="657" t="s">
        <v>516</v>
      </c>
      <c r="O45" s="4"/>
      <c r="P45" s="4"/>
      <c r="Q45" s="4"/>
      <c r="R45" s="11"/>
      <c r="S45" s="11"/>
      <c r="T45" s="11"/>
      <c r="U45" s="11"/>
      <c r="V45" s="11"/>
    </row>
    <row r="46" spans="1:22" s="9" customFormat="1" ht="15" customHeight="1">
      <c r="B46" s="199">
        <v>45208</v>
      </c>
      <c r="C46" s="204" t="s">
        <v>446</v>
      </c>
      <c r="D46" s="201" t="s">
        <v>447</v>
      </c>
      <c r="E46" s="205"/>
      <c r="F46" s="205"/>
      <c r="G46" s="205">
        <v>12</v>
      </c>
      <c r="H46" s="205"/>
      <c r="I46" s="205"/>
      <c r="J46" s="205"/>
      <c r="K46" s="205"/>
      <c r="L46" s="205"/>
      <c r="M46" s="202">
        <f t="shared" si="0"/>
        <v>12</v>
      </c>
      <c r="N46" s="653" t="s">
        <v>566</v>
      </c>
      <c r="O46" s="4"/>
      <c r="P46" s="4"/>
      <c r="Q46" s="4"/>
      <c r="R46" s="11"/>
      <c r="S46" s="11"/>
      <c r="T46" s="11"/>
      <c r="U46" s="11"/>
      <c r="V46" s="11"/>
    </row>
    <row r="47" spans="1:22" s="9" customFormat="1" ht="15" customHeight="1">
      <c r="B47" s="28">
        <v>45208</v>
      </c>
      <c r="C47" s="33" t="s">
        <v>446</v>
      </c>
      <c r="D47" s="34" t="s">
        <v>447</v>
      </c>
      <c r="E47" s="25"/>
      <c r="F47" s="25"/>
      <c r="G47" s="25">
        <v>12</v>
      </c>
      <c r="H47" s="25"/>
      <c r="I47" s="25"/>
      <c r="J47" s="25"/>
      <c r="K47" s="25"/>
      <c r="L47" s="25"/>
      <c r="M47" s="402">
        <f t="shared" si="0"/>
        <v>12</v>
      </c>
      <c r="N47" s="657" t="s">
        <v>567</v>
      </c>
      <c r="O47" s="4"/>
      <c r="P47" s="4"/>
      <c r="Q47" s="4"/>
      <c r="R47" s="11"/>
      <c r="S47" s="11"/>
      <c r="T47" s="11"/>
      <c r="U47" s="11"/>
      <c r="V47" s="11"/>
    </row>
    <row r="48" spans="1:22" s="9" customFormat="1" ht="15" customHeight="1">
      <c r="B48" s="199">
        <v>45209</v>
      </c>
      <c r="C48" s="204" t="s">
        <v>446</v>
      </c>
      <c r="D48" s="201" t="s">
        <v>447</v>
      </c>
      <c r="E48" s="205"/>
      <c r="F48" s="205"/>
      <c r="G48" s="205">
        <v>32</v>
      </c>
      <c r="H48" s="205"/>
      <c r="I48" s="205"/>
      <c r="J48" s="205"/>
      <c r="K48" s="205"/>
      <c r="L48" s="205"/>
      <c r="M48" s="202">
        <f t="shared" si="0"/>
        <v>32</v>
      </c>
      <c r="N48" s="653" t="s">
        <v>568</v>
      </c>
      <c r="O48" s="4"/>
      <c r="P48" s="4"/>
      <c r="Q48" s="4"/>
      <c r="R48" s="11"/>
      <c r="S48" s="11"/>
      <c r="T48" s="11"/>
      <c r="U48" s="11"/>
      <c r="V48" s="11"/>
    </row>
    <row r="49" spans="2:22" s="9" customFormat="1" ht="15" customHeight="1">
      <c r="B49" s="28">
        <v>45210</v>
      </c>
      <c r="C49" s="33" t="s">
        <v>446</v>
      </c>
      <c r="D49" s="34" t="s">
        <v>447</v>
      </c>
      <c r="E49" s="25"/>
      <c r="F49" s="25"/>
      <c r="G49" s="25">
        <v>12</v>
      </c>
      <c r="H49" s="25"/>
      <c r="I49" s="25"/>
      <c r="J49" s="25"/>
      <c r="K49" s="25"/>
      <c r="L49" s="25"/>
      <c r="M49" s="402">
        <f t="shared" si="0"/>
        <v>12</v>
      </c>
      <c r="N49" s="657" t="s">
        <v>569</v>
      </c>
      <c r="O49" s="4"/>
      <c r="P49" s="4"/>
      <c r="Q49" s="4"/>
      <c r="R49" s="11"/>
      <c r="S49" s="11"/>
      <c r="T49" s="11"/>
      <c r="U49" s="11"/>
      <c r="V49" s="11"/>
    </row>
    <row r="50" spans="2:22" s="9" customFormat="1" ht="15" customHeight="1">
      <c r="B50" s="199">
        <v>45215</v>
      </c>
      <c r="C50" s="204" t="s">
        <v>446</v>
      </c>
      <c r="D50" s="201" t="s">
        <v>447</v>
      </c>
      <c r="E50" s="205"/>
      <c r="F50" s="205"/>
      <c r="G50" s="205">
        <v>20</v>
      </c>
      <c r="H50" s="205"/>
      <c r="I50" s="205"/>
      <c r="J50" s="205"/>
      <c r="K50" s="205"/>
      <c r="L50" s="205"/>
      <c r="M50" s="202">
        <f t="shared" si="0"/>
        <v>20</v>
      </c>
      <c r="N50" s="653" t="s">
        <v>570</v>
      </c>
      <c r="O50" s="4"/>
      <c r="P50" s="4"/>
      <c r="Q50" s="4"/>
      <c r="R50" s="11"/>
      <c r="S50" s="11"/>
      <c r="T50" s="11"/>
      <c r="U50" s="11"/>
      <c r="V50" s="11"/>
    </row>
    <row r="51" spans="2:22" s="9" customFormat="1" ht="15" customHeight="1">
      <c r="B51" s="28">
        <v>45215</v>
      </c>
      <c r="C51" s="33" t="s">
        <v>446</v>
      </c>
      <c r="D51" s="34" t="s">
        <v>447</v>
      </c>
      <c r="E51" s="25"/>
      <c r="F51" s="25"/>
      <c r="G51" s="25">
        <v>12</v>
      </c>
      <c r="H51" s="25"/>
      <c r="I51" s="25"/>
      <c r="J51" s="25"/>
      <c r="K51" s="25"/>
      <c r="L51" s="25"/>
      <c r="M51" s="402">
        <f t="shared" si="0"/>
        <v>12</v>
      </c>
      <c r="N51" s="657" t="s">
        <v>498</v>
      </c>
      <c r="O51" s="4"/>
      <c r="P51" s="4"/>
      <c r="Q51" s="4"/>
      <c r="R51" s="11"/>
      <c r="S51" s="11"/>
      <c r="T51" s="11"/>
      <c r="U51" s="11"/>
      <c r="V51" s="11"/>
    </row>
    <row r="52" spans="2:22" s="9" customFormat="1" ht="15" customHeight="1">
      <c r="B52" s="199">
        <v>45217</v>
      </c>
      <c r="C52" s="204" t="s">
        <v>446</v>
      </c>
      <c r="D52" s="201" t="s">
        <v>447</v>
      </c>
      <c r="E52" s="205"/>
      <c r="F52" s="205"/>
      <c r="G52" s="205">
        <v>24</v>
      </c>
      <c r="H52" s="205"/>
      <c r="I52" s="205"/>
      <c r="J52" s="205"/>
      <c r="K52" s="205"/>
      <c r="L52" s="205"/>
      <c r="M52" s="202">
        <f t="shared" si="0"/>
        <v>24</v>
      </c>
      <c r="N52" s="653" t="s">
        <v>571</v>
      </c>
      <c r="O52" s="4"/>
      <c r="P52" s="4"/>
      <c r="Q52" s="4"/>
      <c r="R52" s="11"/>
      <c r="S52" s="11"/>
      <c r="T52" s="11"/>
      <c r="U52" s="11"/>
      <c r="V52" s="11"/>
    </row>
    <row r="53" spans="2:22" s="9" customFormat="1" ht="15" customHeight="1">
      <c r="B53" s="28">
        <v>45229</v>
      </c>
      <c r="C53" s="33" t="s">
        <v>446</v>
      </c>
      <c r="D53" s="34" t="s">
        <v>447</v>
      </c>
      <c r="E53" s="25"/>
      <c r="F53" s="25"/>
      <c r="G53" s="25">
        <v>20</v>
      </c>
      <c r="H53" s="25"/>
      <c r="I53" s="25"/>
      <c r="J53" s="25"/>
      <c r="K53" s="25"/>
      <c r="L53" s="25"/>
      <c r="M53" s="402">
        <f t="shared" si="0"/>
        <v>20</v>
      </c>
      <c r="N53" s="657" t="s">
        <v>572</v>
      </c>
      <c r="O53" s="4"/>
      <c r="P53" s="4"/>
      <c r="Q53" s="731">
        <f>283*5</f>
        <v>1415</v>
      </c>
      <c r="R53" s="11"/>
      <c r="S53" s="11"/>
      <c r="T53" s="11"/>
      <c r="U53" s="11"/>
      <c r="V53" s="11"/>
    </row>
    <row r="54" spans="2:22" s="9" customFormat="1" ht="15" customHeight="1">
      <c r="B54" s="199">
        <v>45230</v>
      </c>
      <c r="C54" s="204" t="s">
        <v>9</v>
      </c>
      <c r="D54" s="201" t="s">
        <v>452</v>
      </c>
      <c r="E54" s="205"/>
      <c r="F54" s="205">
        <v>279.68</v>
      </c>
      <c r="G54" s="205"/>
      <c r="H54" s="205"/>
      <c r="I54" s="205"/>
      <c r="J54" s="205"/>
      <c r="K54" s="205"/>
      <c r="L54" s="205"/>
      <c r="M54" s="202">
        <f t="shared" si="0"/>
        <v>279.68</v>
      </c>
      <c r="N54" s="653"/>
      <c r="O54" s="4"/>
      <c r="P54" s="4"/>
      <c r="Q54" s="731">
        <f>F39*2</f>
        <v>875.7</v>
      </c>
      <c r="R54" s="11"/>
      <c r="S54" s="11"/>
      <c r="T54" s="11"/>
      <c r="U54" s="11"/>
      <c r="V54" s="11"/>
    </row>
    <row r="55" spans="2:22" s="9" customFormat="1" ht="15" customHeight="1">
      <c r="B55" s="28">
        <v>45260</v>
      </c>
      <c r="C55" s="33" t="s">
        <v>9</v>
      </c>
      <c r="D55" s="34" t="s">
        <v>452</v>
      </c>
      <c r="E55" s="25"/>
      <c r="F55" s="25">
        <v>271.52</v>
      </c>
      <c r="G55" s="25"/>
      <c r="H55" s="25"/>
      <c r="I55" s="25"/>
      <c r="J55" s="25"/>
      <c r="K55" s="25"/>
      <c r="L55" s="25"/>
      <c r="M55" s="402">
        <f t="shared" si="0"/>
        <v>271.52</v>
      </c>
      <c r="N55" s="657"/>
      <c r="O55" s="4"/>
      <c r="P55" s="4"/>
      <c r="Q55" s="731">
        <f>SUM(Q53:Q54)</f>
        <v>2290.6999999999998</v>
      </c>
      <c r="R55" s="11"/>
      <c r="S55" s="11"/>
      <c r="T55" s="11"/>
      <c r="U55" s="11"/>
      <c r="V55" s="11"/>
    </row>
    <row r="56" spans="2:22" s="9" customFormat="1" ht="15" customHeight="1">
      <c r="B56" s="199">
        <v>45273</v>
      </c>
      <c r="C56" s="204" t="s">
        <v>446</v>
      </c>
      <c r="D56" s="201" t="s">
        <v>447</v>
      </c>
      <c r="E56" s="205"/>
      <c r="F56" s="205"/>
      <c r="G56" s="205">
        <v>44</v>
      </c>
      <c r="H56" s="205"/>
      <c r="I56" s="205"/>
      <c r="J56" s="205"/>
      <c r="K56" s="205"/>
      <c r="L56" s="205"/>
      <c r="M56" s="202">
        <f t="shared" si="0"/>
        <v>44</v>
      </c>
      <c r="N56" s="653" t="s">
        <v>590</v>
      </c>
      <c r="O56" s="4"/>
      <c r="P56" s="4"/>
      <c r="Q56" s="4"/>
      <c r="R56" s="11"/>
      <c r="S56" s="11"/>
      <c r="T56" s="11"/>
      <c r="U56" s="11"/>
      <c r="V56" s="11"/>
    </row>
    <row r="57" spans="2:22" s="9" customFormat="1" ht="15" customHeight="1">
      <c r="B57" s="28">
        <v>45287</v>
      </c>
      <c r="C57" s="33" t="s">
        <v>591</v>
      </c>
      <c r="D57" s="34" t="s">
        <v>447</v>
      </c>
      <c r="E57" s="25"/>
      <c r="F57" s="25"/>
      <c r="G57" s="25"/>
      <c r="H57" s="25"/>
      <c r="I57" s="25"/>
      <c r="J57" s="25">
        <v>150.32</v>
      </c>
      <c r="K57" s="25"/>
      <c r="L57" s="25"/>
      <c r="M57" s="402">
        <f t="shared" si="0"/>
        <v>150.32</v>
      </c>
      <c r="N57" s="657"/>
      <c r="O57" s="4"/>
      <c r="P57" s="4"/>
      <c r="Q57" s="4"/>
      <c r="R57" s="11"/>
      <c r="S57" s="11"/>
      <c r="T57" s="11"/>
      <c r="U57" s="11"/>
      <c r="V57" s="11"/>
    </row>
    <row r="58" spans="2:22" s="9" customFormat="1" ht="15" customHeight="1">
      <c r="B58" s="199">
        <v>45291</v>
      </c>
      <c r="C58" s="204" t="s">
        <v>9</v>
      </c>
      <c r="D58" s="201" t="s">
        <v>447</v>
      </c>
      <c r="E58" s="205"/>
      <c r="F58" s="205">
        <v>431.79</v>
      </c>
      <c r="G58" s="205"/>
      <c r="H58" s="205"/>
      <c r="I58" s="205"/>
      <c r="J58" s="205"/>
      <c r="K58" s="205"/>
      <c r="L58" s="205"/>
      <c r="M58" s="202">
        <f t="shared" ref="M58:M65" si="1">SUM(E58:L58)</f>
        <v>431.79</v>
      </c>
      <c r="N58" s="653"/>
      <c r="O58" s="4"/>
      <c r="P58" s="4"/>
      <c r="Q58" s="4"/>
      <c r="R58" s="11"/>
      <c r="S58" s="11"/>
      <c r="T58" s="11"/>
      <c r="U58" s="11"/>
      <c r="V58" s="11"/>
    </row>
    <row r="59" spans="2:22" s="9" customFormat="1" ht="15" customHeight="1">
      <c r="B59" s="28">
        <v>45291</v>
      </c>
      <c r="C59" s="33" t="s">
        <v>9</v>
      </c>
      <c r="D59" s="34" t="s">
        <v>452</v>
      </c>
      <c r="E59" s="25"/>
      <c r="F59" s="25">
        <v>281.44</v>
      </c>
      <c r="G59" s="25"/>
      <c r="H59" s="25"/>
      <c r="I59" s="25"/>
      <c r="J59" s="25"/>
      <c r="K59" s="25"/>
      <c r="L59" s="25"/>
      <c r="M59" s="402">
        <f t="shared" si="1"/>
        <v>281.44</v>
      </c>
      <c r="N59" s="657"/>
      <c r="O59" s="4"/>
      <c r="P59" s="4"/>
      <c r="Q59" s="4"/>
      <c r="R59" s="11"/>
      <c r="S59" s="11"/>
      <c r="T59" s="11"/>
      <c r="U59" s="11"/>
      <c r="V59" s="11"/>
    </row>
    <row r="60" spans="2:22" s="9" customFormat="1" ht="15" customHeight="1">
      <c r="B60" s="199">
        <v>45293</v>
      </c>
      <c r="C60" s="204" t="s">
        <v>615</v>
      </c>
      <c r="D60" s="201" t="s">
        <v>447</v>
      </c>
      <c r="E60" s="205"/>
      <c r="F60" s="205"/>
      <c r="G60" s="205">
        <v>52</v>
      </c>
      <c r="H60" s="205"/>
      <c r="I60" s="205"/>
      <c r="J60" s="205"/>
      <c r="K60" s="205"/>
      <c r="L60" s="205"/>
      <c r="M60" s="202">
        <f t="shared" si="1"/>
        <v>52</v>
      </c>
      <c r="N60" s="653" t="s">
        <v>614</v>
      </c>
      <c r="O60" s="4"/>
      <c r="P60" s="4"/>
      <c r="Q60" s="4"/>
      <c r="R60" s="11"/>
      <c r="S60" s="11"/>
      <c r="T60" s="11"/>
      <c r="U60" s="11"/>
      <c r="V60" s="11"/>
    </row>
    <row r="61" spans="2:22" s="9" customFormat="1" ht="15" customHeight="1">
      <c r="B61" s="28">
        <v>45299</v>
      </c>
      <c r="C61" s="33" t="s">
        <v>446</v>
      </c>
      <c r="D61" s="34" t="s">
        <v>447</v>
      </c>
      <c r="E61" s="25"/>
      <c r="F61" s="25"/>
      <c r="G61" s="25">
        <v>20</v>
      </c>
      <c r="H61" s="25"/>
      <c r="I61" s="25"/>
      <c r="J61" s="25"/>
      <c r="K61" s="25"/>
      <c r="L61" s="25"/>
      <c r="M61" s="402">
        <f t="shared" si="1"/>
        <v>20</v>
      </c>
      <c r="N61" s="657" t="s">
        <v>616</v>
      </c>
      <c r="O61" s="4"/>
      <c r="P61" s="4"/>
      <c r="Q61" s="4"/>
      <c r="R61" s="11"/>
      <c r="S61" s="11"/>
      <c r="T61" s="11"/>
      <c r="U61" s="11"/>
      <c r="V61" s="11"/>
    </row>
    <row r="62" spans="2:22" s="9" customFormat="1" ht="15" customHeight="1">
      <c r="B62" s="199">
        <v>45299</v>
      </c>
      <c r="C62" s="204" t="s">
        <v>446</v>
      </c>
      <c r="D62" s="201" t="s">
        <v>447</v>
      </c>
      <c r="E62" s="205"/>
      <c r="F62" s="205"/>
      <c r="G62" s="205">
        <v>12</v>
      </c>
      <c r="H62" s="205"/>
      <c r="I62" s="205"/>
      <c r="J62" s="205"/>
      <c r="K62" s="205"/>
      <c r="L62" s="205"/>
      <c r="M62" s="202">
        <f t="shared" ref="M62:M63" si="2">SUM(E62:L62)</f>
        <v>12</v>
      </c>
      <c r="N62" s="653" t="s">
        <v>617</v>
      </c>
      <c r="O62" s="4"/>
      <c r="P62" s="4"/>
      <c r="Q62" s="4"/>
      <c r="R62" s="11"/>
      <c r="S62" s="11"/>
      <c r="T62" s="11"/>
      <c r="U62" s="11"/>
      <c r="V62" s="11"/>
    </row>
    <row r="63" spans="2:22" s="9" customFormat="1" ht="15" customHeight="1">
      <c r="B63" s="28">
        <v>45322</v>
      </c>
      <c r="C63" s="33" t="s">
        <v>9</v>
      </c>
      <c r="D63" s="34" t="s">
        <v>452</v>
      </c>
      <c r="E63" s="25"/>
      <c r="F63" s="25">
        <v>290.83999999999997</v>
      </c>
      <c r="G63" s="25"/>
      <c r="H63" s="25"/>
      <c r="I63" s="25"/>
      <c r="J63" s="25"/>
      <c r="K63" s="25"/>
      <c r="L63" s="25"/>
      <c r="M63" s="402">
        <f t="shared" si="2"/>
        <v>290.83999999999997</v>
      </c>
      <c r="N63" s="657"/>
      <c r="O63" s="4"/>
      <c r="P63" s="4"/>
      <c r="Q63" s="4"/>
      <c r="R63" s="11"/>
      <c r="S63" s="11"/>
      <c r="T63" s="11"/>
      <c r="U63" s="11"/>
      <c r="V63" s="11"/>
    </row>
    <row r="64" spans="2:22" s="9" customFormat="1" ht="15" customHeight="1">
      <c r="B64" s="199">
        <v>45330</v>
      </c>
      <c r="C64" s="204" t="s">
        <v>446</v>
      </c>
      <c r="D64" s="201" t="s">
        <v>447</v>
      </c>
      <c r="E64" s="205"/>
      <c r="F64" s="205"/>
      <c r="G64" s="205">
        <v>20</v>
      </c>
      <c r="H64" s="205"/>
      <c r="I64" s="205"/>
      <c r="J64" s="205"/>
      <c r="K64" s="205"/>
      <c r="L64" s="205"/>
      <c r="M64" s="202">
        <f t="shared" si="1"/>
        <v>20</v>
      </c>
      <c r="N64" s="653" t="s">
        <v>620</v>
      </c>
      <c r="O64" s="4"/>
      <c r="P64" s="4"/>
      <c r="Q64" s="4"/>
      <c r="R64" s="11"/>
      <c r="S64" s="11"/>
      <c r="T64" s="11"/>
      <c r="U64" s="11"/>
      <c r="V64" s="11"/>
    </row>
    <row r="65" spans="1:22" s="9" customFormat="1" ht="15" customHeight="1">
      <c r="B65" s="28">
        <v>45343</v>
      </c>
      <c r="C65" s="33" t="s">
        <v>622</v>
      </c>
      <c r="D65" s="34" t="s">
        <v>623</v>
      </c>
      <c r="E65" s="25"/>
      <c r="F65" s="25"/>
      <c r="G65" s="25"/>
      <c r="H65" s="25"/>
      <c r="I65" s="25">
        <v>534.22</v>
      </c>
      <c r="J65" s="25"/>
      <c r="K65" s="25"/>
      <c r="L65" s="25"/>
      <c r="M65" s="402">
        <f t="shared" si="1"/>
        <v>534.22</v>
      </c>
      <c r="N65" s="657"/>
      <c r="O65" s="4"/>
      <c r="P65" s="4"/>
      <c r="Q65" s="4"/>
      <c r="R65" s="11"/>
      <c r="S65" s="11"/>
      <c r="T65" s="11"/>
      <c r="U65" s="11"/>
      <c r="V65" s="11"/>
    </row>
    <row r="66" spans="1:22" s="9" customFormat="1" ht="15" customHeight="1">
      <c r="B66" s="199">
        <v>45348</v>
      </c>
      <c r="C66" s="204" t="s">
        <v>446</v>
      </c>
      <c r="D66" s="201" t="s">
        <v>447</v>
      </c>
      <c r="E66" s="205"/>
      <c r="F66" s="205"/>
      <c r="G66" s="205">
        <v>20</v>
      </c>
      <c r="H66" s="205"/>
      <c r="I66" s="205"/>
      <c r="J66" s="205"/>
      <c r="K66" s="205"/>
      <c r="L66" s="205"/>
      <c r="M66" s="202">
        <f t="shared" ref="M66:M69" si="3">SUM(E66:L66)</f>
        <v>20</v>
      </c>
      <c r="N66" s="653" t="s">
        <v>621</v>
      </c>
      <c r="O66" s="4"/>
      <c r="P66" s="4"/>
      <c r="Q66" s="4"/>
      <c r="R66" s="11"/>
      <c r="S66" s="11"/>
      <c r="T66" s="11"/>
      <c r="U66" s="11"/>
      <c r="V66" s="11"/>
    </row>
    <row r="67" spans="1:22" s="9" customFormat="1" ht="15" customHeight="1">
      <c r="B67" s="28">
        <v>45351</v>
      </c>
      <c r="C67" s="33" t="s">
        <v>9</v>
      </c>
      <c r="D67" s="34" t="s">
        <v>452</v>
      </c>
      <c r="E67" s="25"/>
      <c r="F67" s="25">
        <v>300.31</v>
      </c>
      <c r="G67" s="25"/>
      <c r="H67" s="25"/>
      <c r="I67" s="25"/>
      <c r="J67" s="25"/>
      <c r="K67" s="25"/>
      <c r="L67" s="25"/>
      <c r="M67" s="402">
        <f t="shared" si="3"/>
        <v>300.31</v>
      </c>
      <c r="N67" s="657"/>
      <c r="O67" s="4"/>
      <c r="P67" s="4"/>
      <c r="Q67" s="4"/>
      <c r="R67" s="11"/>
      <c r="S67" s="11"/>
      <c r="T67" s="11"/>
      <c r="U67" s="11"/>
      <c r="V67" s="11"/>
    </row>
    <row r="68" spans="1:22" s="9" customFormat="1" ht="15" customHeight="1">
      <c r="B68" s="199">
        <v>45382</v>
      </c>
      <c r="C68" s="204" t="s">
        <v>9</v>
      </c>
      <c r="D68" s="201" t="s">
        <v>447</v>
      </c>
      <c r="E68" s="205"/>
      <c r="F68" s="205">
        <v>371.6</v>
      </c>
      <c r="G68" s="205"/>
      <c r="H68" s="205"/>
      <c r="I68" s="205"/>
      <c r="J68" s="205"/>
      <c r="K68" s="205"/>
      <c r="L68" s="205"/>
      <c r="M68" s="202">
        <f t="shared" si="0"/>
        <v>371.6</v>
      </c>
      <c r="N68" s="653"/>
      <c r="O68" s="4"/>
      <c r="P68" s="4"/>
      <c r="Q68" s="4"/>
      <c r="R68" s="11"/>
      <c r="S68" s="11"/>
      <c r="T68" s="11"/>
      <c r="U68" s="11"/>
      <c r="V68" s="11"/>
    </row>
    <row r="69" spans="1:22" s="9" customFormat="1" ht="15" customHeight="1">
      <c r="B69" s="28">
        <v>45382</v>
      </c>
      <c r="C69" s="33" t="s">
        <v>9</v>
      </c>
      <c r="D69" s="34" t="s">
        <v>452</v>
      </c>
      <c r="E69" s="25"/>
      <c r="F69" s="25">
        <v>322.12</v>
      </c>
      <c r="G69" s="797"/>
      <c r="H69" s="25"/>
      <c r="I69" s="25"/>
      <c r="J69" s="25"/>
      <c r="K69" s="25"/>
      <c r="L69" s="25"/>
      <c r="M69" s="402">
        <f t="shared" si="3"/>
        <v>322.12</v>
      </c>
      <c r="N69" s="792"/>
      <c r="O69" s="4"/>
      <c r="P69" s="4"/>
      <c r="Q69" s="4"/>
      <c r="R69" s="11"/>
      <c r="S69" s="11"/>
      <c r="T69" s="11"/>
      <c r="U69" s="11"/>
      <c r="V69" s="11"/>
    </row>
    <row r="70" spans="1:22" s="9" customFormat="1" ht="15" customHeight="1" thickBot="1">
      <c r="B70" s="793"/>
      <c r="C70" s="794" t="s">
        <v>28</v>
      </c>
      <c r="D70" s="795"/>
      <c r="E70" s="796">
        <f>SUM(E4:E69)</f>
        <v>50750</v>
      </c>
      <c r="F70" s="796">
        <f t="shared" ref="F70:M70" si="4">SUM(F4:F69)</f>
        <v>4599.3599999999997</v>
      </c>
      <c r="G70" s="796">
        <f t="shared" si="4"/>
        <v>516</v>
      </c>
      <c r="H70" s="796">
        <f t="shared" si="4"/>
        <v>0</v>
      </c>
      <c r="I70" s="796">
        <f t="shared" si="4"/>
        <v>1068.44</v>
      </c>
      <c r="J70" s="796">
        <f t="shared" si="4"/>
        <v>5220.32</v>
      </c>
      <c r="K70" s="796">
        <f t="shared" si="4"/>
        <v>4500</v>
      </c>
      <c r="L70" s="796">
        <f t="shared" si="4"/>
        <v>4961.43</v>
      </c>
      <c r="M70" s="796">
        <f t="shared" si="4"/>
        <v>71615.55</v>
      </c>
      <c r="N70" s="658"/>
      <c r="O70" s="4"/>
      <c r="P70" s="4"/>
      <c r="Q70" s="4"/>
    </row>
    <row r="71" spans="1:22" s="9" customFormat="1" ht="15" customHeight="1" thickTop="1">
      <c r="A71" s="4"/>
      <c r="B71" s="16"/>
      <c r="C71" s="864"/>
      <c r="D71" s="865"/>
      <c r="E71" s="865"/>
      <c r="F71" s="865"/>
      <c r="G71" s="865"/>
      <c r="H71" s="865"/>
      <c r="I71" s="865"/>
      <c r="J71" s="208">
        <f>J19+J20+J23</f>
        <v>5000</v>
      </c>
      <c r="K71" s="859"/>
      <c r="L71" s="859"/>
      <c r="M71" s="112">
        <f>SUM(E70:L70)</f>
        <v>71615.55</v>
      </c>
      <c r="N71" s="659"/>
      <c r="O71" s="4"/>
      <c r="P71" s="4"/>
      <c r="Q71" s="4"/>
    </row>
    <row r="72" spans="1:22" s="9" customFormat="1" ht="15" customHeight="1" thickBot="1">
      <c r="A72" s="4"/>
      <c r="B72" s="13"/>
      <c r="C72" s="866"/>
      <c r="D72" s="867"/>
      <c r="E72" s="867"/>
      <c r="F72" s="867"/>
      <c r="G72" s="867"/>
      <c r="H72" s="867"/>
      <c r="I72" s="867"/>
      <c r="J72" s="95"/>
      <c r="K72" s="17"/>
      <c r="L72" s="14"/>
      <c r="M72" s="113">
        <f>M71-L70</f>
        <v>66654.12</v>
      </c>
      <c r="N72" s="552">
        <f>M71-E70</f>
        <v>20865.55</v>
      </c>
      <c r="O72" s="4"/>
      <c r="P72" s="4"/>
      <c r="Q72" s="4"/>
    </row>
    <row r="73" spans="1:22">
      <c r="C73" s="6"/>
      <c r="M73" s="1">
        <f>M71-M70</f>
        <v>0</v>
      </c>
    </row>
    <row r="74" spans="1:22">
      <c r="G74" s="5">
        <f>G70-G18-G17-G11-G10-G5-G4</f>
        <v>388</v>
      </c>
    </row>
    <row r="75" spans="1:22">
      <c r="G75" s="5">
        <f>SUM(G41:G68)</f>
        <v>388</v>
      </c>
    </row>
    <row r="76" spans="1:22">
      <c r="G76" s="5">
        <f>G70-Q18</f>
        <v>388</v>
      </c>
    </row>
  </sheetData>
  <sheetProtection algorithmName="SHA-512" hashValue="R1FfawhXGkqEMK4MsvXXA6xJZm9cYw5Ah9QNY76Z6EL502pfyI1mzt2X/ZVqxHTzXbvmUYUN9GDAtMifyDwReA==" saltValue="tbLwoDR9vXAzjTSTCiEvcA==" spinCount="100000" sheet="1" formatCells="0" selectLockedCells="1"/>
  <mergeCells count="15">
    <mergeCell ref="B2:B3"/>
    <mergeCell ref="C2:C3"/>
    <mergeCell ref="D2:D3"/>
    <mergeCell ref="E2:E3"/>
    <mergeCell ref="N2:N3"/>
    <mergeCell ref="F2:F3"/>
    <mergeCell ref="L2:L3"/>
    <mergeCell ref="M2:M3"/>
    <mergeCell ref="K71:L71"/>
    <mergeCell ref="G2:G3"/>
    <mergeCell ref="I2:I3"/>
    <mergeCell ref="K2:K3"/>
    <mergeCell ref="C71:I72"/>
    <mergeCell ref="H2:H3"/>
    <mergeCell ref="J2:J3"/>
  </mergeCells>
  <phoneticPr fontId="0" type="noConversion"/>
  <printOptions horizontalCentered="1" verticalCentered="1"/>
  <pageMargins left="0" right="0" top="0.39370078740157483" bottom="0.39370078740157483" header="0.31496062992125984" footer="0.31496062992125984"/>
  <pageSetup paperSize="9" scale="66" orientation="landscape" r:id="rId1"/>
  <headerFooter alignWithMargins="0">
    <oddHeader xml:space="preserve">&amp;CNassington Parish Council&amp;RAccounts to y/e 31 March 2024
</oddHeader>
    <oddFooter>&amp;C&amp;"Arial,Bold"&amp;14&amp;A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249977111117893"/>
    <pageSetUpPr fitToPage="1"/>
  </sheetPr>
  <dimension ref="A1:Q226"/>
  <sheetViews>
    <sheetView showGridLines="0" showZeros="0" zoomScale="99" zoomScaleNormal="99" workbookViewId="0">
      <pane xSplit="3" ySplit="2" topLeftCell="D122" activePane="bottomRight" state="frozen"/>
      <selection activeCell="G37" sqref="G37"/>
      <selection pane="topRight" activeCell="G37" sqref="G37"/>
      <selection pane="bottomLeft" activeCell="G37" sqref="G37"/>
      <selection pane="bottomRight"/>
    </sheetView>
  </sheetViews>
  <sheetFormatPr defaultColWidth="9.109375" defaultRowHeight="14.4"/>
  <cols>
    <col min="1" max="1" width="1" style="26" customWidth="1"/>
    <col min="2" max="2" width="4" style="138" bestFit="1" customWidth="1"/>
    <col min="3" max="3" width="13.88671875" style="620" bestFit="1" customWidth="1"/>
    <col min="4" max="4" width="11.6640625" style="26" bestFit="1" customWidth="1"/>
    <col min="5" max="5" width="9.5546875" style="696" bestFit="1" customWidth="1"/>
    <col min="6" max="6" width="33.6640625" style="118" customWidth="1"/>
    <col min="7" max="7" width="3.44140625" style="398" customWidth="1"/>
    <col min="8" max="8" width="31.33203125" style="26" customWidth="1"/>
    <col min="9" max="9" width="11.5546875" style="114" customWidth="1"/>
    <col min="10" max="10" width="10.5546875" style="114" customWidth="1"/>
    <col min="11" max="11" width="9.88671875" style="26" customWidth="1"/>
    <col min="12" max="12" width="8" style="26" customWidth="1"/>
    <col min="13" max="13" width="10.5546875" style="114" customWidth="1"/>
    <col min="14" max="14" width="10.5546875" style="114" bestFit="1" customWidth="1"/>
    <col min="15" max="15" width="38" style="26" customWidth="1"/>
    <col min="16" max="16" width="9.109375" style="26"/>
    <col min="17" max="17" width="12" style="26" bestFit="1" customWidth="1"/>
    <col min="18" max="18" width="10.5546875" style="26" bestFit="1" customWidth="1"/>
    <col min="19" max="16384" width="9.109375" style="26"/>
  </cols>
  <sheetData>
    <row r="1" spans="2:17" ht="15" thickBot="1">
      <c r="D1" s="67"/>
    </row>
    <row r="2" spans="2:17" s="60" customFormat="1" ht="46.5" customHeight="1" thickTop="1">
      <c r="B2" s="139"/>
      <c r="C2" s="56" t="s">
        <v>6</v>
      </c>
      <c r="D2" s="54" t="s">
        <v>222</v>
      </c>
      <c r="E2" s="697" t="s">
        <v>357</v>
      </c>
      <c r="F2" s="55" t="s">
        <v>224</v>
      </c>
      <c r="G2" s="142" t="s">
        <v>39</v>
      </c>
      <c r="H2" s="57" t="s">
        <v>31</v>
      </c>
      <c r="I2" s="115" t="s">
        <v>64</v>
      </c>
      <c r="J2" s="115" t="s">
        <v>295</v>
      </c>
      <c r="K2" s="58" t="s">
        <v>65</v>
      </c>
      <c r="L2" s="58" t="s">
        <v>36</v>
      </c>
      <c r="M2" s="117" t="s">
        <v>66</v>
      </c>
      <c r="N2" s="117" t="s">
        <v>5</v>
      </c>
      <c r="O2" s="59" t="s">
        <v>274</v>
      </c>
    </row>
    <row r="3" spans="2:17" s="60" customFormat="1" ht="15" customHeight="1">
      <c r="B3" s="540">
        <v>1</v>
      </c>
      <c r="C3" s="621">
        <f t="shared" ref="C3:C10" si="0">SUM(M3:N3)</f>
        <v>1.99</v>
      </c>
      <c r="D3" s="538">
        <v>45027</v>
      </c>
      <c r="E3" s="33" t="s">
        <v>435</v>
      </c>
      <c r="F3" s="180" t="s">
        <v>436</v>
      </c>
      <c r="G3" s="539" t="s">
        <v>437</v>
      </c>
      <c r="H3" s="25" t="s">
        <v>438</v>
      </c>
      <c r="I3" s="603">
        <v>1.99</v>
      </c>
      <c r="J3" s="603"/>
      <c r="K3" s="603"/>
      <c r="L3" s="603"/>
      <c r="M3" s="604">
        <f t="shared" ref="M3:M65" si="1">SUM(I3:L3)</f>
        <v>1.99</v>
      </c>
      <c r="N3" s="603"/>
      <c r="O3" s="91" t="s">
        <v>440</v>
      </c>
    </row>
    <row r="4" spans="2:17" ht="15" customHeight="1">
      <c r="B4" s="541">
        <f>B3+1</f>
        <v>2</v>
      </c>
      <c r="C4" s="622">
        <f t="shared" si="0"/>
        <v>77.58</v>
      </c>
      <c r="D4" s="542">
        <v>45033</v>
      </c>
      <c r="E4" s="546" t="s">
        <v>391</v>
      </c>
      <c r="F4" s="581" t="s">
        <v>442</v>
      </c>
      <c r="G4" s="543" t="s">
        <v>437</v>
      </c>
      <c r="H4" s="544" t="s">
        <v>441</v>
      </c>
      <c r="I4" s="605"/>
      <c r="J4" s="605">
        <v>75.489999999999995</v>
      </c>
      <c r="K4" s="606"/>
      <c r="L4" s="606"/>
      <c r="M4" s="607">
        <f t="shared" si="1"/>
        <v>75.489999999999995</v>
      </c>
      <c r="N4" s="607">
        <v>2.09</v>
      </c>
      <c r="O4" s="104" t="s">
        <v>373</v>
      </c>
    </row>
    <row r="5" spans="2:17" ht="15" customHeight="1">
      <c r="B5" s="540">
        <f>B4+1</f>
        <v>3</v>
      </c>
      <c r="C5" s="621">
        <f t="shared" si="0"/>
        <v>30.18</v>
      </c>
      <c r="D5" s="538">
        <v>45033</v>
      </c>
      <c r="E5" s="33" t="s">
        <v>391</v>
      </c>
      <c r="F5" s="577" t="s">
        <v>442</v>
      </c>
      <c r="G5" s="539" t="s">
        <v>437</v>
      </c>
      <c r="H5" s="25" t="s">
        <v>441</v>
      </c>
      <c r="I5" s="603"/>
      <c r="J5" s="603">
        <v>28.75</v>
      </c>
      <c r="K5" s="603"/>
      <c r="L5" s="603"/>
      <c r="M5" s="604">
        <f t="shared" si="1"/>
        <v>28.75</v>
      </c>
      <c r="N5" s="603">
        <v>1.43</v>
      </c>
      <c r="O5" s="91" t="s">
        <v>373</v>
      </c>
    </row>
    <row r="6" spans="2:17" ht="15" customHeight="1">
      <c r="B6" s="541">
        <f t="shared" ref="B6:B14" si="2">B5+1</f>
        <v>4</v>
      </c>
      <c r="C6" s="622">
        <f t="shared" si="0"/>
        <v>117.41</v>
      </c>
      <c r="D6" s="542">
        <v>45037</v>
      </c>
      <c r="E6" s="546" t="s">
        <v>391</v>
      </c>
      <c r="F6" s="578" t="s">
        <v>443</v>
      </c>
      <c r="G6" s="543" t="s">
        <v>437</v>
      </c>
      <c r="H6" s="544" t="s">
        <v>441</v>
      </c>
      <c r="I6" s="605"/>
      <c r="J6" s="607">
        <v>111.83</v>
      </c>
      <c r="K6" s="605"/>
      <c r="L6" s="606"/>
      <c r="M6" s="607">
        <f t="shared" si="1"/>
        <v>111.83</v>
      </c>
      <c r="N6" s="606">
        <v>5.58</v>
      </c>
      <c r="O6" s="211" t="s">
        <v>338</v>
      </c>
    </row>
    <row r="7" spans="2:17" ht="15" customHeight="1">
      <c r="B7" s="540">
        <f t="shared" si="2"/>
        <v>5</v>
      </c>
      <c r="C7" s="621">
        <f t="shared" si="0"/>
        <v>3.53</v>
      </c>
      <c r="D7" s="538">
        <v>45037</v>
      </c>
      <c r="E7" s="33" t="s">
        <v>391</v>
      </c>
      <c r="F7" s="577" t="s">
        <v>442</v>
      </c>
      <c r="G7" s="539" t="s">
        <v>437</v>
      </c>
      <c r="H7" s="25" t="s">
        <v>441</v>
      </c>
      <c r="I7" s="603"/>
      <c r="J7" s="603">
        <v>3.37</v>
      </c>
      <c r="K7" s="603"/>
      <c r="L7" s="603"/>
      <c r="M7" s="604">
        <f t="shared" si="1"/>
        <v>3.37</v>
      </c>
      <c r="N7" s="603">
        <v>0.16</v>
      </c>
      <c r="O7" s="91" t="s">
        <v>373</v>
      </c>
    </row>
    <row r="8" spans="2:17" ht="15" customHeight="1">
      <c r="B8" s="209">
        <f t="shared" si="2"/>
        <v>6</v>
      </c>
      <c r="C8" s="622">
        <f t="shared" si="0"/>
        <v>596.89</v>
      </c>
      <c r="D8" s="542">
        <v>45041</v>
      </c>
      <c r="E8" s="546" t="s">
        <v>391</v>
      </c>
      <c r="F8" s="143" t="s">
        <v>444</v>
      </c>
      <c r="G8" s="543" t="s">
        <v>437</v>
      </c>
      <c r="H8" s="544" t="s">
        <v>445</v>
      </c>
      <c r="I8" s="605">
        <v>596.89</v>
      </c>
      <c r="J8" s="605"/>
      <c r="K8" s="606"/>
      <c r="L8" s="606"/>
      <c r="M8" s="607">
        <f t="shared" si="1"/>
        <v>596.89</v>
      </c>
      <c r="N8" s="607"/>
      <c r="O8" s="104" t="s">
        <v>333</v>
      </c>
    </row>
    <row r="9" spans="2:17" ht="15" customHeight="1">
      <c r="B9" s="540">
        <f t="shared" si="2"/>
        <v>7</v>
      </c>
      <c r="C9" s="621">
        <f t="shared" si="0"/>
        <v>614.03</v>
      </c>
      <c r="D9" s="538">
        <v>45048</v>
      </c>
      <c r="E9" s="33" t="s">
        <v>453</v>
      </c>
      <c r="F9" s="144" t="s">
        <v>454</v>
      </c>
      <c r="G9" s="539" t="s">
        <v>437</v>
      </c>
      <c r="H9" s="25" t="s">
        <v>455</v>
      </c>
      <c r="I9" s="609">
        <v>614.03</v>
      </c>
      <c r="J9" s="609"/>
      <c r="K9" s="603"/>
      <c r="L9" s="603"/>
      <c r="M9" s="604">
        <f t="shared" si="1"/>
        <v>614.03</v>
      </c>
      <c r="N9" s="604"/>
      <c r="O9" s="91" t="s">
        <v>333</v>
      </c>
    </row>
    <row r="10" spans="2:17">
      <c r="B10" s="541">
        <f t="shared" si="2"/>
        <v>8</v>
      </c>
      <c r="C10" s="622">
        <f t="shared" si="0"/>
        <v>50</v>
      </c>
      <c r="D10" s="542">
        <v>45049</v>
      </c>
      <c r="E10" s="546" t="s">
        <v>435</v>
      </c>
      <c r="F10" s="175" t="s">
        <v>456</v>
      </c>
      <c r="G10" s="543" t="s">
        <v>437</v>
      </c>
      <c r="H10" s="547" t="s">
        <v>457</v>
      </c>
      <c r="I10" s="606">
        <v>50</v>
      </c>
      <c r="J10" s="606"/>
      <c r="K10" s="606"/>
      <c r="L10" s="606"/>
      <c r="M10" s="607">
        <f t="shared" si="1"/>
        <v>50</v>
      </c>
      <c r="N10" s="606"/>
      <c r="O10" s="104" t="s">
        <v>440</v>
      </c>
    </row>
    <row r="11" spans="2:17" s="60" customFormat="1" ht="15.75" customHeight="1">
      <c r="B11" s="884">
        <f>B10+1</f>
        <v>9</v>
      </c>
      <c r="C11" s="885">
        <f>SUM(M11:N12)</f>
        <v>110.96</v>
      </c>
      <c r="D11" s="886">
        <v>45055</v>
      </c>
      <c r="E11" s="887" t="s">
        <v>391</v>
      </c>
      <c r="F11" s="144" t="s">
        <v>458</v>
      </c>
      <c r="G11" s="888" t="s">
        <v>437</v>
      </c>
      <c r="H11" s="889" t="s">
        <v>460</v>
      </c>
      <c r="I11" s="609">
        <v>53.69</v>
      </c>
      <c r="J11" s="610"/>
      <c r="K11" s="603"/>
      <c r="L11" s="603"/>
      <c r="M11" s="604">
        <f t="shared" si="1"/>
        <v>53.69</v>
      </c>
      <c r="N11" s="603"/>
      <c r="O11" s="91" t="s">
        <v>392</v>
      </c>
    </row>
    <row r="12" spans="2:17" s="60" customFormat="1" ht="15.75" customHeight="1">
      <c r="B12" s="884"/>
      <c r="C12" s="885"/>
      <c r="D12" s="886"/>
      <c r="E12" s="887"/>
      <c r="F12" s="144" t="s">
        <v>459</v>
      </c>
      <c r="G12" s="888"/>
      <c r="H12" s="889"/>
      <c r="I12" s="609">
        <v>57.27</v>
      </c>
      <c r="J12" s="610"/>
      <c r="K12" s="603"/>
      <c r="L12" s="603"/>
      <c r="M12" s="604">
        <f t="shared" si="1"/>
        <v>57.27</v>
      </c>
      <c r="N12" s="603"/>
      <c r="O12" s="91" t="s">
        <v>333</v>
      </c>
    </row>
    <row r="13" spans="2:17">
      <c r="B13" s="541">
        <f>B11+1</f>
        <v>10</v>
      </c>
      <c r="C13" s="624">
        <f t="shared" ref="C13:C17" si="3">SUM(M13:N13)</f>
        <v>52.95</v>
      </c>
      <c r="D13" s="542">
        <v>45055</v>
      </c>
      <c r="E13" s="546" t="s">
        <v>461</v>
      </c>
      <c r="F13" s="583" t="s">
        <v>485</v>
      </c>
      <c r="G13" s="543" t="s">
        <v>437</v>
      </c>
      <c r="H13" s="547" t="s">
        <v>455</v>
      </c>
      <c r="I13" s="606"/>
      <c r="J13" s="606">
        <v>44.13</v>
      </c>
      <c r="K13" s="606"/>
      <c r="L13" s="606"/>
      <c r="M13" s="607">
        <f t="shared" si="1"/>
        <v>44.13</v>
      </c>
      <c r="N13" s="628">
        <v>8.82</v>
      </c>
      <c r="O13" s="104" t="s">
        <v>373</v>
      </c>
    </row>
    <row r="14" spans="2:17">
      <c r="B14" s="540">
        <f t="shared" si="2"/>
        <v>11</v>
      </c>
      <c r="C14" s="625">
        <f t="shared" si="3"/>
        <v>500</v>
      </c>
      <c r="D14" s="538">
        <v>45055</v>
      </c>
      <c r="E14" s="33" t="s">
        <v>461</v>
      </c>
      <c r="F14" s="144" t="s">
        <v>462</v>
      </c>
      <c r="G14" s="539" t="s">
        <v>437</v>
      </c>
      <c r="H14" s="25" t="s">
        <v>463</v>
      </c>
      <c r="I14" s="603"/>
      <c r="J14" s="603">
        <v>500</v>
      </c>
      <c r="K14" s="603"/>
      <c r="L14" s="603"/>
      <c r="M14" s="604">
        <f t="shared" si="1"/>
        <v>500</v>
      </c>
      <c r="N14" s="629"/>
      <c r="O14" s="91" t="s">
        <v>350</v>
      </c>
    </row>
    <row r="15" spans="2:17" ht="15" customHeight="1">
      <c r="B15" s="541">
        <f t="shared" ref="B15:B16" si="4">B14+1</f>
        <v>12</v>
      </c>
      <c r="C15" s="622">
        <f t="shared" si="3"/>
        <v>549.16999999999996</v>
      </c>
      <c r="D15" s="542">
        <v>45055</v>
      </c>
      <c r="E15" s="546" t="s">
        <v>461</v>
      </c>
      <c r="F15" s="175" t="s">
        <v>444</v>
      </c>
      <c r="G15" s="543" t="s">
        <v>437</v>
      </c>
      <c r="H15" s="547" t="s">
        <v>445</v>
      </c>
      <c r="I15" s="605">
        <v>549.16999999999996</v>
      </c>
      <c r="J15" s="605"/>
      <c r="K15" s="606"/>
      <c r="L15" s="606"/>
      <c r="M15" s="607">
        <f t="shared" si="1"/>
        <v>549.16999999999996</v>
      </c>
      <c r="N15" s="628"/>
      <c r="O15" s="104" t="s">
        <v>333</v>
      </c>
    </row>
    <row r="16" spans="2:17">
      <c r="B16" s="139">
        <f t="shared" si="4"/>
        <v>13</v>
      </c>
      <c r="C16" s="625">
        <f t="shared" si="3"/>
        <v>42.48</v>
      </c>
      <c r="D16" s="538">
        <v>45055</v>
      </c>
      <c r="E16" s="33" t="s">
        <v>461</v>
      </c>
      <c r="F16" s="577" t="s">
        <v>497</v>
      </c>
      <c r="G16" s="539" t="s">
        <v>437</v>
      </c>
      <c r="H16" s="25" t="s">
        <v>464</v>
      </c>
      <c r="I16" s="603"/>
      <c r="J16" s="603">
        <v>38.28</v>
      </c>
      <c r="K16" s="603"/>
      <c r="L16" s="603"/>
      <c r="M16" s="604">
        <f t="shared" si="1"/>
        <v>38.28</v>
      </c>
      <c r="N16" s="629">
        <v>4.2</v>
      </c>
      <c r="O16" s="91" t="s">
        <v>352</v>
      </c>
      <c r="Q16" s="791">
        <f>M16-4.2</f>
        <v>34.08</v>
      </c>
    </row>
    <row r="17" spans="2:16">
      <c r="B17" s="209">
        <f>B16+1</f>
        <v>14</v>
      </c>
      <c r="C17" s="622">
        <f t="shared" si="3"/>
        <v>48</v>
      </c>
      <c r="D17" s="542">
        <v>45055</v>
      </c>
      <c r="E17" s="546" t="s">
        <v>461</v>
      </c>
      <c r="F17" s="583" t="s">
        <v>465</v>
      </c>
      <c r="G17" s="543" t="s">
        <v>437</v>
      </c>
      <c r="H17" s="547" t="s">
        <v>466</v>
      </c>
      <c r="I17" s="606">
        <v>40</v>
      </c>
      <c r="J17" s="606"/>
      <c r="K17" s="606"/>
      <c r="L17" s="606"/>
      <c r="M17" s="607">
        <f t="shared" si="1"/>
        <v>40</v>
      </c>
      <c r="N17" s="630">
        <v>8</v>
      </c>
      <c r="O17" s="104" t="s">
        <v>335</v>
      </c>
    </row>
    <row r="18" spans="2:16">
      <c r="B18" s="540">
        <f>B17+1</f>
        <v>15</v>
      </c>
      <c r="C18" s="623">
        <f>SUM(M18:N18)</f>
        <v>21.54</v>
      </c>
      <c r="D18" s="538">
        <v>45055</v>
      </c>
      <c r="E18" s="33" t="s">
        <v>461</v>
      </c>
      <c r="F18" s="577" t="s">
        <v>467</v>
      </c>
      <c r="G18" s="539" t="s">
        <v>437</v>
      </c>
      <c r="H18" s="679" t="s">
        <v>468</v>
      </c>
      <c r="I18" s="603"/>
      <c r="J18" s="603">
        <v>21.54</v>
      </c>
      <c r="K18" s="603"/>
      <c r="L18" s="603"/>
      <c r="M18" s="604">
        <f t="shared" si="1"/>
        <v>21.54</v>
      </c>
      <c r="N18" s="631"/>
      <c r="O18" s="91" t="s">
        <v>352</v>
      </c>
      <c r="P18" s="94"/>
    </row>
    <row r="19" spans="2:16" s="60" customFormat="1" ht="15.75" customHeight="1">
      <c r="B19" s="878">
        <f>B18+1</f>
        <v>16</v>
      </c>
      <c r="C19" s="880">
        <f>SUM(M19:N20)</f>
        <v>737.52</v>
      </c>
      <c r="D19" s="882">
        <v>45055</v>
      </c>
      <c r="E19" s="883" t="s">
        <v>461</v>
      </c>
      <c r="F19" s="583" t="s">
        <v>469</v>
      </c>
      <c r="G19" s="879" t="s">
        <v>437</v>
      </c>
      <c r="H19" s="881" t="s">
        <v>470</v>
      </c>
      <c r="I19" s="606">
        <v>256</v>
      </c>
      <c r="J19" s="606"/>
      <c r="K19" s="606"/>
      <c r="L19" s="606"/>
      <c r="M19" s="607">
        <f t="shared" si="1"/>
        <v>256</v>
      </c>
      <c r="N19" s="628">
        <v>51.2</v>
      </c>
      <c r="O19" s="104" t="s">
        <v>344</v>
      </c>
    </row>
    <row r="20" spans="2:16" s="60" customFormat="1" ht="15.75" customHeight="1">
      <c r="B20" s="878"/>
      <c r="C20" s="880"/>
      <c r="D20" s="882"/>
      <c r="E20" s="883"/>
      <c r="F20" s="583" t="s">
        <v>471</v>
      </c>
      <c r="G20" s="879"/>
      <c r="H20" s="881"/>
      <c r="I20" s="606">
        <v>428.32</v>
      </c>
      <c r="J20" s="606"/>
      <c r="K20" s="606"/>
      <c r="L20" s="606"/>
      <c r="M20" s="607">
        <f t="shared" si="1"/>
        <v>428.32</v>
      </c>
      <c r="N20" s="628">
        <v>2</v>
      </c>
      <c r="O20" s="104" t="s">
        <v>638</v>
      </c>
    </row>
    <row r="21" spans="2:16">
      <c r="B21" s="540">
        <f>B19+1</f>
        <v>17</v>
      </c>
      <c r="C21" s="621">
        <f t="shared" ref="C21:C24" si="5">SUM(M21:N21)</f>
        <v>35</v>
      </c>
      <c r="D21" s="538">
        <v>45058</v>
      </c>
      <c r="E21" s="33" t="s">
        <v>472</v>
      </c>
      <c r="F21" s="577" t="s">
        <v>473</v>
      </c>
      <c r="G21" s="539" t="s">
        <v>437</v>
      </c>
      <c r="H21" s="25" t="s">
        <v>474</v>
      </c>
      <c r="I21" s="603">
        <v>35</v>
      </c>
      <c r="J21" s="611"/>
      <c r="K21" s="612"/>
      <c r="L21" s="612"/>
      <c r="M21" s="613">
        <f t="shared" si="1"/>
        <v>35</v>
      </c>
      <c r="N21" s="632"/>
      <c r="O21" s="91" t="s">
        <v>336</v>
      </c>
    </row>
    <row r="22" spans="2:16" ht="15" customHeight="1">
      <c r="B22" s="541">
        <f>B21+1</f>
        <v>18</v>
      </c>
      <c r="C22" s="622">
        <f t="shared" si="5"/>
        <v>201.6</v>
      </c>
      <c r="D22" s="542">
        <v>45065</v>
      </c>
      <c r="E22" s="546" t="s">
        <v>461</v>
      </c>
      <c r="F22" s="581" t="s">
        <v>477</v>
      </c>
      <c r="G22" s="543" t="s">
        <v>437</v>
      </c>
      <c r="H22" s="544" t="s">
        <v>478</v>
      </c>
      <c r="I22" s="605"/>
      <c r="J22" s="605">
        <v>168</v>
      </c>
      <c r="K22" s="606"/>
      <c r="L22" s="606"/>
      <c r="M22" s="607">
        <f t="shared" si="1"/>
        <v>168</v>
      </c>
      <c r="N22" s="630">
        <v>33.6</v>
      </c>
      <c r="O22" s="104" t="s">
        <v>373</v>
      </c>
    </row>
    <row r="23" spans="2:16" ht="15" customHeight="1">
      <c r="B23" s="139">
        <f>B22+1</f>
        <v>19</v>
      </c>
      <c r="C23" s="625">
        <f t="shared" si="5"/>
        <v>177</v>
      </c>
      <c r="D23" s="538">
        <v>45065</v>
      </c>
      <c r="E23" s="33" t="s">
        <v>461</v>
      </c>
      <c r="F23" s="577" t="s">
        <v>479</v>
      </c>
      <c r="G23" s="539" t="s">
        <v>437</v>
      </c>
      <c r="H23" s="25" t="s">
        <v>480</v>
      </c>
      <c r="I23" s="603">
        <v>177</v>
      </c>
      <c r="J23" s="603"/>
      <c r="K23" s="603"/>
      <c r="L23" s="603"/>
      <c r="M23" s="604">
        <f t="shared" si="1"/>
        <v>177</v>
      </c>
      <c r="N23" s="629"/>
      <c r="O23" s="91" t="s">
        <v>638</v>
      </c>
    </row>
    <row r="24" spans="2:16">
      <c r="B24" s="209">
        <f t="shared" ref="B24:B25" si="6">B23+1</f>
        <v>20</v>
      </c>
      <c r="C24" s="622">
        <f t="shared" si="5"/>
        <v>791.64</v>
      </c>
      <c r="D24" s="542">
        <v>45065</v>
      </c>
      <c r="E24" s="546" t="s">
        <v>461</v>
      </c>
      <c r="F24" s="583" t="s">
        <v>481</v>
      </c>
      <c r="G24" s="543" t="s">
        <v>437</v>
      </c>
      <c r="H24" s="544" t="s">
        <v>482</v>
      </c>
      <c r="I24" s="606"/>
      <c r="J24" s="606">
        <v>791.64</v>
      </c>
      <c r="K24" s="606"/>
      <c r="L24" s="606"/>
      <c r="M24" s="607">
        <f t="shared" si="1"/>
        <v>791.64</v>
      </c>
      <c r="N24" s="628"/>
      <c r="O24" s="104" t="s">
        <v>342</v>
      </c>
    </row>
    <row r="25" spans="2:16">
      <c r="B25" s="884">
        <f t="shared" si="6"/>
        <v>21</v>
      </c>
      <c r="C25" s="885">
        <f>SUM(M25:N26)</f>
        <v>720</v>
      </c>
      <c r="D25" s="886">
        <v>45065</v>
      </c>
      <c r="E25" s="887" t="s">
        <v>461</v>
      </c>
      <c r="F25" s="582" t="s">
        <v>486</v>
      </c>
      <c r="G25" s="888" t="s">
        <v>437</v>
      </c>
      <c r="H25" s="889" t="s">
        <v>504</v>
      </c>
      <c r="J25" s="609">
        <v>180</v>
      </c>
      <c r="K25" s="603"/>
      <c r="L25" s="603"/>
      <c r="M25" s="604">
        <f>SUM(J25:L25)</f>
        <v>180</v>
      </c>
      <c r="N25" s="603"/>
      <c r="O25" s="91" t="s">
        <v>431</v>
      </c>
    </row>
    <row r="26" spans="2:16">
      <c r="B26" s="884"/>
      <c r="C26" s="885"/>
      <c r="D26" s="886"/>
      <c r="E26" s="887"/>
      <c r="F26" s="582" t="s">
        <v>483</v>
      </c>
      <c r="G26" s="888"/>
      <c r="H26" s="889"/>
      <c r="J26" s="609">
        <v>540</v>
      </c>
      <c r="K26" s="603"/>
      <c r="L26" s="603"/>
      <c r="M26" s="604">
        <f>SUM(J26:L26)</f>
        <v>540</v>
      </c>
      <c r="N26" s="603"/>
      <c r="O26" s="91" t="s">
        <v>351</v>
      </c>
    </row>
    <row r="27" spans="2:16" ht="15.75" customHeight="1">
      <c r="B27" s="541">
        <f>B25+1</f>
        <v>22</v>
      </c>
      <c r="C27" s="624">
        <f t="shared" ref="C27:C28" si="7">SUM(M27:N27)</f>
        <v>101.94</v>
      </c>
      <c r="D27" s="542">
        <v>45065</v>
      </c>
      <c r="E27" s="546" t="s">
        <v>461</v>
      </c>
      <c r="F27" s="581" t="s">
        <v>484</v>
      </c>
      <c r="G27" s="543" t="s">
        <v>437</v>
      </c>
      <c r="H27" s="544" t="s">
        <v>487</v>
      </c>
      <c r="I27" s="605"/>
      <c r="J27" s="605">
        <v>84.95</v>
      </c>
      <c r="K27" s="606"/>
      <c r="L27" s="606"/>
      <c r="M27" s="607">
        <f t="shared" si="1"/>
        <v>84.95</v>
      </c>
      <c r="N27" s="630">
        <v>16.989999999999998</v>
      </c>
      <c r="O27" s="104" t="s">
        <v>373</v>
      </c>
    </row>
    <row r="28" spans="2:16">
      <c r="B28" s="540">
        <f>B27+1</f>
        <v>23</v>
      </c>
      <c r="C28" s="625">
        <f t="shared" si="7"/>
        <v>834.8</v>
      </c>
      <c r="D28" s="538">
        <v>45065</v>
      </c>
      <c r="E28" s="33" t="s">
        <v>488</v>
      </c>
      <c r="F28" s="577" t="s">
        <v>489</v>
      </c>
      <c r="G28" s="539" t="s">
        <v>437</v>
      </c>
      <c r="H28" s="545" t="s">
        <v>490</v>
      </c>
      <c r="I28" s="603">
        <v>695.67</v>
      </c>
      <c r="J28" s="603"/>
      <c r="K28" s="603"/>
      <c r="L28" s="603"/>
      <c r="M28" s="604">
        <f t="shared" si="1"/>
        <v>695.67</v>
      </c>
      <c r="N28" s="629">
        <v>139.13</v>
      </c>
      <c r="O28" s="91" t="s">
        <v>335</v>
      </c>
    </row>
    <row r="29" spans="2:16">
      <c r="B29" s="878">
        <f>B28+1</f>
        <v>24</v>
      </c>
      <c r="C29" s="880">
        <f>SUM(M29:N33)</f>
        <v>39.42</v>
      </c>
      <c r="D29" s="882">
        <v>45065</v>
      </c>
      <c r="E29" s="883" t="s">
        <v>461</v>
      </c>
      <c r="F29" s="583" t="s">
        <v>491</v>
      </c>
      <c r="G29" s="879" t="s">
        <v>437</v>
      </c>
      <c r="H29" s="881" t="s">
        <v>466</v>
      </c>
      <c r="I29" s="606"/>
      <c r="J29" s="606">
        <v>13.4</v>
      </c>
      <c r="K29" s="606"/>
      <c r="L29" s="606"/>
      <c r="M29" s="607">
        <f t="shared" si="1"/>
        <v>13.4</v>
      </c>
      <c r="N29" s="628">
        <v>2.68</v>
      </c>
      <c r="O29" s="104" t="s">
        <v>525</v>
      </c>
    </row>
    <row r="30" spans="2:16">
      <c r="B30" s="878"/>
      <c r="C30" s="880"/>
      <c r="D30" s="882"/>
      <c r="E30" s="883"/>
      <c r="F30" s="583" t="s">
        <v>492</v>
      </c>
      <c r="G30" s="879"/>
      <c r="H30" s="881"/>
      <c r="I30" s="606"/>
      <c r="J30" s="606">
        <v>8.82</v>
      </c>
      <c r="K30" s="606"/>
      <c r="L30" s="606"/>
      <c r="M30" s="607">
        <f t="shared" si="1"/>
        <v>8.82</v>
      </c>
      <c r="N30" s="628">
        <v>1.76</v>
      </c>
      <c r="O30" s="104" t="s">
        <v>340</v>
      </c>
    </row>
    <row r="31" spans="2:16">
      <c r="B31" s="878"/>
      <c r="C31" s="880"/>
      <c r="D31" s="882"/>
      <c r="E31" s="883"/>
      <c r="F31" s="583" t="s">
        <v>492</v>
      </c>
      <c r="G31" s="879"/>
      <c r="H31" s="881"/>
      <c r="I31" s="606"/>
      <c r="J31" s="606">
        <v>4.16</v>
      </c>
      <c r="K31" s="606"/>
      <c r="L31" s="606"/>
      <c r="M31" s="607">
        <f t="shared" si="1"/>
        <v>4.16</v>
      </c>
      <c r="N31" s="628">
        <v>0.83</v>
      </c>
      <c r="O31" s="104" t="s">
        <v>340</v>
      </c>
    </row>
    <row r="32" spans="2:16">
      <c r="B32" s="878"/>
      <c r="C32" s="880"/>
      <c r="D32" s="882"/>
      <c r="E32" s="883"/>
      <c r="F32" s="583" t="s">
        <v>493</v>
      </c>
      <c r="G32" s="879"/>
      <c r="H32" s="881"/>
      <c r="I32" s="606"/>
      <c r="J32" s="606">
        <v>6.63</v>
      </c>
      <c r="K32" s="606"/>
      <c r="L32" s="606"/>
      <c r="M32" s="607">
        <f t="shared" si="1"/>
        <v>6.63</v>
      </c>
      <c r="N32" s="628">
        <v>1.34</v>
      </c>
      <c r="O32" s="104" t="s">
        <v>340</v>
      </c>
    </row>
    <row r="33" spans="1:15">
      <c r="B33" s="541"/>
      <c r="C33" s="880"/>
      <c r="D33" s="882"/>
      <c r="E33" s="883"/>
      <c r="F33" s="175" t="s">
        <v>494</v>
      </c>
      <c r="G33" s="879"/>
      <c r="H33" s="881"/>
      <c r="I33" s="606"/>
      <c r="J33" s="606">
        <v>-0.2</v>
      </c>
      <c r="K33" s="606"/>
      <c r="L33" s="606"/>
      <c r="M33" s="607">
        <f t="shared" si="1"/>
        <v>-0.2</v>
      </c>
      <c r="N33" s="628"/>
      <c r="O33" s="104"/>
    </row>
    <row r="34" spans="1:15" s="60" customFormat="1">
      <c r="B34" s="540">
        <f>B29+1</f>
        <v>25</v>
      </c>
      <c r="C34" s="625">
        <f t="shared" ref="C34:C39" si="8">SUM(M34:N34)</f>
        <v>207.6</v>
      </c>
      <c r="D34" s="538">
        <v>45065</v>
      </c>
      <c r="E34" s="698" t="s">
        <v>461</v>
      </c>
      <c r="F34" s="692" t="s">
        <v>495</v>
      </c>
      <c r="G34" s="539" t="s">
        <v>437</v>
      </c>
      <c r="H34" s="545" t="s">
        <v>496</v>
      </c>
      <c r="I34" s="609"/>
      <c r="J34" s="609">
        <v>173</v>
      </c>
      <c r="K34" s="609"/>
      <c r="L34" s="603"/>
      <c r="M34" s="604">
        <f t="shared" si="1"/>
        <v>173</v>
      </c>
      <c r="N34" s="629">
        <v>34.6</v>
      </c>
      <c r="O34" s="404" t="s">
        <v>340</v>
      </c>
    </row>
    <row r="35" spans="1:15" ht="14.25" customHeight="1">
      <c r="B35" s="878">
        <f>B34+1</f>
        <v>26</v>
      </c>
      <c r="C35" s="880">
        <f>SUM(M35:N36)</f>
        <v>8.59</v>
      </c>
      <c r="D35" s="882">
        <v>45068</v>
      </c>
      <c r="E35" s="883" t="s">
        <v>391</v>
      </c>
      <c r="F35" s="583" t="s">
        <v>442</v>
      </c>
      <c r="G35" s="879" t="s">
        <v>437</v>
      </c>
      <c r="H35" s="881" t="s">
        <v>441</v>
      </c>
      <c r="I35" s="606"/>
      <c r="J35" s="606">
        <v>8.2799999999999994</v>
      </c>
      <c r="K35" s="606"/>
      <c r="L35" s="606"/>
      <c r="M35" s="607">
        <f t="shared" si="1"/>
        <v>8.2799999999999994</v>
      </c>
      <c r="N35" s="628">
        <f>M35*5%</f>
        <v>0.41</v>
      </c>
      <c r="O35" s="104" t="s">
        <v>373</v>
      </c>
    </row>
    <row r="36" spans="1:15" ht="14.25" customHeight="1">
      <c r="B36" s="878"/>
      <c r="C36" s="880"/>
      <c r="D36" s="882"/>
      <c r="E36" s="883"/>
      <c r="F36" s="583" t="s">
        <v>494</v>
      </c>
      <c r="G36" s="879"/>
      <c r="H36" s="881"/>
      <c r="I36" s="606"/>
      <c r="J36" s="606">
        <v>-0.1</v>
      </c>
      <c r="K36" s="606"/>
      <c r="L36" s="606"/>
      <c r="M36" s="607">
        <f t="shared" si="1"/>
        <v>-0.1</v>
      </c>
      <c r="N36" s="628"/>
      <c r="O36" s="104"/>
    </row>
    <row r="37" spans="1:15">
      <c r="B37" s="540">
        <f>+B35+1</f>
        <v>27</v>
      </c>
      <c r="C37" s="623">
        <f t="shared" si="8"/>
        <v>103.99</v>
      </c>
      <c r="D37" s="538">
        <v>45068</v>
      </c>
      <c r="E37" s="33" t="s">
        <v>391</v>
      </c>
      <c r="F37" s="582" t="s">
        <v>443</v>
      </c>
      <c r="G37" s="539" t="s">
        <v>437</v>
      </c>
      <c r="H37" s="25" t="s">
        <v>441</v>
      </c>
      <c r="I37" s="609"/>
      <c r="J37" s="609">
        <v>99.05</v>
      </c>
      <c r="K37" s="603"/>
      <c r="L37" s="603"/>
      <c r="M37" s="604">
        <f t="shared" si="1"/>
        <v>99.05</v>
      </c>
      <c r="N37" s="629">
        <v>4.9400000000000004</v>
      </c>
      <c r="O37" s="91" t="s">
        <v>338</v>
      </c>
    </row>
    <row r="38" spans="1:15" s="60" customFormat="1">
      <c r="B38" s="209">
        <f t="shared" ref="B38:B66" si="9">B37+1</f>
        <v>28</v>
      </c>
      <c r="C38" s="622">
        <f t="shared" si="8"/>
        <v>658.62</v>
      </c>
      <c r="D38" s="542">
        <v>45077</v>
      </c>
      <c r="E38" s="546" t="s">
        <v>453</v>
      </c>
      <c r="F38" s="175" t="s">
        <v>454</v>
      </c>
      <c r="G38" s="543" t="s">
        <v>437</v>
      </c>
      <c r="H38" s="544" t="s">
        <v>455</v>
      </c>
      <c r="I38" s="615">
        <v>658.62</v>
      </c>
      <c r="J38" s="606"/>
      <c r="K38" s="606"/>
      <c r="L38" s="606"/>
      <c r="M38" s="607">
        <f t="shared" si="1"/>
        <v>658.62</v>
      </c>
      <c r="N38" s="628"/>
      <c r="O38" s="104" t="s">
        <v>333</v>
      </c>
    </row>
    <row r="39" spans="1:15">
      <c r="B39" s="540">
        <f t="shared" si="9"/>
        <v>29</v>
      </c>
      <c r="C39" s="623">
        <f t="shared" si="8"/>
        <v>3</v>
      </c>
      <c r="D39" s="538">
        <v>45079</v>
      </c>
      <c r="E39" s="33" t="s">
        <v>435</v>
      </c>
      <c r="F39" s="144" t="s">
        <v>500</v>
      </c>
      <c r="G39" s="539" t="s">
        <v>437</v>
      </c>
      <c r="H39" s="25" t="s">
        <v>501</v>
      </c>
      <c r="I39" s="609">
        <v>3</v>
      </c>
      <c r="J39" s="609"/>
      <c r="K39" s="603"/>
      <c r="L39" s="603"/>
      <c r="M39" s="604">
        <f t="shared" si="1"/>
        <v>3</v>
      </c>
      <c r="N39" s="631"/>
      <c r="O39" s="91" t="s">
        <v>440</v>
      </c>
    </row>
    <row r="40" spans="1:15" s="60" customFormat="1" ht="15.75" customHeight="1">
      <c r="B40" s="878">
        <f>B39+1</f>
        <v>30</v>
      </c>
      <c r="C40" s="880">
        <f>SUM(M40:N41)</f>
        <v>110.96</v>
      </c>
      <c r="D40" s="882">
        <v>45086</v>
      </c>
      <c r="E40" s="883" t="s">
        <v>391</v>
      </c>
      <c r="F40" s="143" t="s">
        <v>458</v>
      </c>
      <c r="G40" s="879" t="s">
        <v>437</v>
      </c>
      <c r="H40" s="881" t="s">
        <v>460</v>
      </c>
      <c r="I40" s="605">
        <v>53.69</v>
      </c>
      <c r="J40" s="695"/>
      <c r="K40" s="606"/>
      <c r="L40" s="606"/>
      <c r="M40" s="607">
        <f t="shared" si="1"/>
        <v>53.69</v>
      </c>
      <c r="N40" s="606"/>
      <c r="O40" s="104" t="s">
        <v>392</v>
      </c>
    </row>
    <row r="41" spans="1:15" s="60" customFormat="1" ht="15.75" customHeight="1">
      <c r="B41" s="878"/>
      <c r="C41" s="880"/>
      <c r="D41" s="882"/>
      <c r="E41" s="883"/>
      <c r="F41" s="143" t="s">
        <v>459</v>
      </c>
      <c r="G41" s="879"/>
      <c r="H41" s="881"/>
      <c r="I41" s="605">
        <v>57.27</v>
      </c>
      <c r="J41" s="695"/>
      <c r="K41" s="606"/>
      <c r="L41" s="606"/>
      <c r="M41" s="607">
        <f t="shared" si="1"/>
        <v>57.27</v>
      </c>
      <c r="N41" s="606"/>
      <c r="O41" s="104" t="s">
        <v>333</v>
      </c>
    </row>
    <row r="42" spans="1:15" s="60" customFormat="1" ht="15.75" customHeight="1">
      <c r="B42" s="884">
        <f>B40+1</f>
        <v>31</v>
      </c>
      <c r="C42" s="885">
        <f>SUM(M42:N43)</f>
        <v>32.08</v>
      </c>
      <c r="D42" s="886">
        <v>45093</v>
      </c>
      <c r="E42" s="887" t="s">
        <v>391</v>
      </c>
      <c r="F42" s="577" t="s">
        <v>502</v>
      </c>
      <c r="G42" s="888" t="s">
        <v>437</v>
      </c>
      <c r="H42" s="889" t="s">
        <v>501</v>
      </c>
      <c r="I42" s="603"/>
      <c r="J42" s="603">
        <v>11.83</v>
      </c>
      <c r="K42" s="603"/>
      <c r="M42" s="604">
        <f t="shared" si="1"/>
        <v>11.83</v>
      </c>
      <c r="N42" s="604">
        <f>M42*20%</f>
        <v>2.37</v>
      </c>
      <c r="O42" s="91" t="s">
        <v>345</v>
      </c>
    </row>
    <row r="43" spans="1:15" s="60" customFormat="1" ht="15.75" customHeight="1">
      <c r="B43" s="884"/>
      <c r="C43" s="885"/>
      <c r="D43" s="886"/>
      <c r="E43" s="887"/>
      <c r="F43" s="577" t="s">
        <v>503</v>
      </c>
      <c r="G43" s="888"/>
      <c r="H43" s="889"/>
      <c r="I43" s="603">
        <v>17.88</v>
      </c>
      <c r="J43" s="603"/>
      <c r="K43" s="603"/>
      <c r="M43" s="604">
        <f t="shared" si="1"/>
        <v>17.88</v>
      </c>
      <c r="N43" s="604"/>
      <c r="O43" s="91" t="s">
        <v>335</v>
      </c>
    </row>
    <row r="44" spans="1:15" s="60" customFormat="1">
      <c r="A44" s="543"/>
      <c r="B44" s="541">
        <f>B42+1</f>
        <v>32</v>
      </c>
      <c r="C44" s="624">
        <f t="shared" ref="C44:C46" si="10">SUM(M44:N44)</f>
        <v>107.36</v>
      </c>
      <c r="D44" s="542">
        <v>45096</v>
      </c>
      <c r="E44" s="699" t="s">
        <v>391</v>
      </c>
      <c r="F44" s="578" t="s">
        <v>443</v>
      </c>
      <c r="G44" s="543" t="s">
        <v>437</v>
      </c>
      <c r="H44" s="544" t="s">
        <v>441</v>
      </c>
      <c r="I44" s="605"/>
      <c r="J44" s="606">
        <v>102.25</v>
      </c>
      <c r="K44" s="605"/>
      <c r="L44" s="606"/>
      <c r="M44" s="607">
        <f t="shared" si="1"/>
        <v>102.25</v>
      </c>
      <c r="N44" s="628">
        <f>M44*5%</f>
        <v>5.1100000000000003</v>
      </c>
      <c r="O44" s="211" t="s">
        <v>338</v>
      </c>
    </row>
    <row r="45" spans="1:15" s="60" customFormat="1" ht="15.75" customHeight="1">
      <c r="B45" s="540">
        <f>B44+1</f>
        <v>33</v>
      </c>
      <c r="C45" s="623">
        <f t="shared" si="10"/>
        <v>9.0299999999999994</v>
      </c>
      <c r="D45" s="538">
        <v>45096</v>
      </c>
      <c r="E45" s="33" t="s">
        <v>391</v>
      </c>
      <c r="F45" s="577" t="s">
        <v>442</v>
      </c>
      <c r="G45" s="539" t="s">
        <v>437</v>
      </c>
      <c r="H45" s="25" t="s">
        <v>441</v>
      </c>
      <c r="I45" s="611"/>
      <c r="J45" s="603">
        <v>8.6</v>
      </c>
      <c r="K45" s="612"/>
      <c r="L45" s="612"/>
      <c r="M45" s="604">
        <f t="shared" si="1"/>
        <v>8.6</v>
      </c>
      <c r="N45" s="604">
        <f>M45*5%</f>
        <v>0.43</v>
      </c>
      <c r="O45" s="91" t="s">
        <v>373</v>
      </c>
    </row>
    <row r="46" spans="1:15">
      <c r="B46" s="541">
        <f>B45+1</f>
        <v>34</v>
      </c>
      <c r="C46" s="622">
        <f t="shared" si="10"/>
        <v>50.32</v>
      </c>
      <c r="D46" s="542">
        <v>45103</v>
      </c>
      <c r="E46" s="546" t="s">
        <v>461</v>
      </c>
      <c r="F46" s="726" t="s">
        <v>506</v>
      </c>
      <c r="G46" s="543" t="s">
        <v>437</v>
      </c>
      <c r="H46" s="544" t="s">
        <v>507</v>
      </c>
      <c r="I46" s="605">
        <v>50.32</v>
      </c>
      <c r="J46" s="605"/>
      <c r="K46" s="606"/>
      <c r="L46" s="606"/>
      <c r="M46" s="607">
        <f t="shared" si="1"/>
        <v>50.32</v>
      </c>
      <c r="N46" s="628"/>
      <c r="O46" s="104" t="s">
        <v>345</v>
      </c>
    </row>
    <row r="47" spans="1:15" s="60" customFormat="1">
      <c r="B47" s="139">
        <f>B46+1</f>
        <v>35</v>
      </c>
      <c r="C47" s="625">
        <f t="shared" ref="C47:C49" si="11">SUM(M47:N47)</f>
        <v>0.2</v>
      </c>
      <c r="D47" s="538">
        <v>45103</v>
      </c>
      <c r="E47" s="33" t="s">
        <v>461</v>
      </c>
      <c r="F47" s="180" t="s">
        <v>508</v>
      </c>
      <c r="G47" s="539" t="s">
        <v>437</v>
      </c>
      <c r="H47" s="25" t="s">
        <v>505</v>
      </c>
      <c r="I47" s="616"/>
      <c r="J47" s="603">
        <v>0.2</v>
      </c>
      <c r="K47" s="603"/>
      <c r="L47" s="603"/>
      <c r="M47" s="604">
        <f t="shared" si="1"/>
        <v>0.2</v>
      </c>
      <c r="N47" s="629"/>
      <c r="O47" s="91"/>
    </row>
    <row r="48" spans="1:15" s="60" customFormat="1" ht="15.75" customHeight="1">
      <c r="B48" s="541">
        <f>B47+1</f>
        <v>36</v>
      </c>
      <c r="C48" s="624">
        <f>SUM(M48:N48)</f>
        <v>4500</v>
      </c>
      <c r="D48" s="542">
        <v>45103</v>
      </c>
      <c r="E48" s="546" t="s">
        <v>461</v>
      </c>
      <c r="F48" s="583" t="s">
        <v>509</v>
      </c>
      <c r="G48" s="543" t="s">
        <v>437</v>
      </c>
      <c r="H48" s="544" t="s">
        <v>510</v>
      </c>
      <c r="I48" s="724"/>
      <c r="J48" s="606">
        <v>4500</v>
      </c>
      <c r="K48" s="725"/>
      <c r="L48" s="725"/>
      <c r="M48" s="607">
        <f t="shared" si="1"/>
        <v>4500</v>
      </c>
      <c r="N48" s="607"/>
      <c r="O48" s="104" t="s">
        <v>353</v>
      </c>
    </row>
    <row r="49" spans="2:15" s="60" customFormat="1">
      <c r="B49" s="139">
        <f>B48+1</f>
        <v>37</v>
      </c>
      <c r="C49" s="625">
        <f t="shared" si="11"/>
        <v>14.4</v>
      </c>
      <c r="D49" s="538">
        <v>45103</v>
      </c>
      <c r="E49" s="33" t="s">
        <v>461</v>
      </c>
      <c r="F49" s="577" t="s">
        <v>511</v>
      </c>
      <c r="G49" s="539" t="s">
        <v>437</v>
      </c>
      <c r="H49" s="25" t="s">
        <v>468</v>
      </c>
      <c r="I49" s="616"/>
      <c r="J49" s="603">
        <v>14.4</v>
      </c>
      <c r="K49" s="603"/>
      <c r="L49" s="603"/>
      <c r="M49" s="604">
        <f t="shared" si="1"/>
        <v>14.4</v>
      </c>
      <c r="N49" s="629"/>
      <c r="O49" s="91" t="s">
        <v>352</v>
      </c>
    </row>
    <row r="50" spans="2:15">
      <c r="B50" s="878">
        <f t="shared" si="9"/>
        <v>38</v>
      </c>
      <c r="C50" s="880">
        <f>SUM(M50:N51)</f>
        <v>470</v>
      </c>
      <c r="D50" s="882">
        <v>45103</v>
      </c>
      <c r="E50" s="883" t="s">
        <v>461</v>
      </c>
      <c r="F50" s="581" t="s">
        <v>486</v>
      </c>
      <c r="G50" s="879" t="s">
        <v>437</v>
      </c>
      <c r="H50" s="881" t="s">
        <v>504</v>
      </c>
      <c r="I50" s="605"/>
      <c r="J50" s="605">
        <v>180</v>
      </c>
      <c r="K50" s="606"/>
      <c r="L50" s="606"/>
      <c r="M50" s="607">
        <f>SUM(J50:L50)</f>
        <v>180</v>
      </c>
      <c r="N50" s="606"/>
      <c r="O50" s="104" t="s">
        <v>431</v>
      </c>
    </row>
    <row r="51" spans="2:15">
      <c r="B51" s="878"/>
      <c r="C51" s="880"/>
      <c r="D51" s="882"/>
      <c r="E51" s="883"/>
      <c r="F51" s="581" t="s">
        <v>483</v>
      </c>
      <c r="G51" s="879"/>
      <c r="H51" s="881"/>
      <c r="I51" s="605"/>
      <c r="J51" s="605">
        <v>290</v>
      </c>
      <c r="K51" s="606"/>
      <c r="L51" s="606"/>
      <c r="M51" s="607">
        <f>SUM(J51:L51)</f>
        <v>290</v>
      </c>
      <c r="N51" s="606"/>
      <c r="O51" s="104" t="s">
        <v>351</v>
      </c>
    </row>
    <row r="52" spans="2:15" s="60" customFormat="1">
      <c r="B52" s="139">
        <f>B50+1</f>
        <v>39</v>
      </c>
      <c r="C52" s="625">
        <f t="shared" ref="C52:C65" si="12">SUM(M52:N52)</f>
        <v>658.62</v>
      </c>
      <c r="D52" s="538">
        <v>45107</v>
      </c>
      <c r="E52" s="33" t="s">
        <v>453</v>
      </c>
      <c r="F52" s="180" t="s">
        <v>454</v>
      </c>
      <c r="G52" s="539" t="s">
        <v>437</v>
      </c>
      <c r="H52" s="25" t="s">
        <v>455</v>
      </c>
      <c r="I52" s="616">
        <v>658.62</v>
      </c>
      <c r="J52" s="603"/>
      <c r="K52" s="603"/>
      <c r="L52" s="603"/>
      <c r="M52" s="604">
        <f t="shared" si="1"/>
        <v>658.62</v>
      </c>
      <c r="N52" s="629"/>
      <c r="O52" s="91" t="s">
        <v>333</v>
      </c>
    </row>
    <row r="53" spans="2:15" ht="15" customHeight="1">
      <c r="B53" s="541">
        <f t="shared" ref="B53" si="13">B52+1</f>
        <v>40</v>
      </c>
      <c r="C53" s="622">
        <f t="shared" si="12"/>
        <v>18</v>
      </c>
      <c r="D53" s="542">
        <v>45107</v>
      </c>
      <c r="E53" s="546" t="s">
        <v>435</v>
      </c>
      <c r="F53" s="143" t="s">
        <v>561</v>
      </c>
      <c r="G53" s="543" t="s">
        <v>437</v>
      </c>
      <c r="H53" s="544" t="s">
        <v>457</v>
      </c>
      <c r="I53" s="606">
        <v>18</v>
      </c>
      <c r="J53" s="606"/>
      <c r="K53" s="606"/>
      <c r="L53" s="606"/>
      <c r="M53" s="607">
        <f t="shared" si="1"/>
        <v>18</v>
      </c>
      <c r="N53" s="628"/>
      <c r="O53" s="104" t="s">
        <v>440</v>
      </c>
    </row>
    <row r="54" spans="2:15" s="60" customFormat="1" ht="15.75" customHeight="1">
      <c r="B54" s="884">
        <f>B53+1</f>
        <v>41</v>
      </c>
      <c r="C54" s="885">
        <f>SUM(M54:N55)</f>
        <v>110.96</v>
      </c>
      <c r="D54" s="886">
        <v>45114</v>
      </c>
      <c r="E54" s="887" t="s">
        <v>391</v>
      </c>
      <c r="F54" s="144" t="s">
        <v>458</v>
      </c>
      <c r="G54" s="888" t="s">
        <v>437</v>
      </c>
      <c r="H54" s="889" t="s">
        <v>460</v>
      </c>
      <c r="I54" s="609">
        <v>53.69</v>
      </c>
      <c r="J54" s="610"/>
      <c r="K54" s="603"/>
      <c r="L54" s="603"/>
      <c r="M54" s="604">
        <f t="shared" si="1"/>
        <v>53.69</v>
      </c>
      <c r="N54" s="603"/>
      <c r="O54" s="91" t="s">
        <v>392</v>
      </c>
    </row>
    <row r="55" spans="2:15" s="60" customFormat="1" ht="15.75" customHeight="1">
      <c r="B55" s="884"/>
      <c r="C55" s="885"/>
      <c r="D55" s="886"/>
      <c r="E55" s="887"/>
      <c r="F55" s="144" t="s">
        <v>459</v>
      </c>
      <c r="G55" s="888"/>
      <c r="H55" s="889"/>
      <c r="I55" s="609">
        <v>57.27</v>
      </c>
      <c r="J55" s="610"/>
      <c r="K55" s="603"/>
      <c r="L55" s="603"/>
      <c r="M55" s="604">
        <f t="shared" si="1"/>
        <v>57.27</v>
      </c>
      <c r="N55" s="603"/>
      <c r="O55" s="91" t="s">
        <v>333</v>
      </c>
    </row>
    <row r="56" spans="2:15" ht="15" customHeight="1">
      <c r="B56" s="541">
        <f>B54+1</f>
        <v>42</v>
      </c>
      <c r="C56" s="622">
        <f>SUM(M56:N56)</f>
        <v>16.88</v>
      </c>
      <c r="D56" s="542">
        <v>45115</v>
      </c>
      <c r="E56" s="546" t="s">
        <v>488</v>
      </c>
      <c r="F56" s="581" t="s">
        <v>530</v>
      </c>
      <c r="G56" s="543" t="s">
        <v>437</v>
      </c>
      <c r="H56" s="544" t="s">
        <v>531</v>
      </c>
      <c r="I56" s="606">
        <v>9.3800000000000008</v>
      </c>
      <c r="J56" s="606"/>
      <c r="K56" s="606"/>
      <c r="L56" s="606"/>
      <c r="M56" s="607">
        <f t="shared" si="1"/>
        <v>9.3800000000000008</v>
      </c>
      <c r="N56" s="628">
        <v>7.5</v>
      </c>
      <c r="O56" s="104" t="s">
        <v>335</v>
      </c>
    </row>
    <row r="57" spans="2:15" s="60" customFormat="1" ht="15.75" customHeight="1">
      <c r="B57" s="884">
        <f>B56+1</f>
        <v>43</v>
      </c>
      <c r="C57" s="885">
        <f>SUM(+M57+N57+M58+N58+M59+N59)</f>
        <v>70</v>
      </c>
      <c r="D57" s="886">
        <v>45124</v>
      </c>
      <c r="E57" s="887" t="s">
        <v>391</v>
      </c>
      <c r="F57" s="582" t="s">
        <v>526</v>
      </c>
      <c r="G57" s="888" t="s">
        <v>437</v>
      </c>
      <c r="H57" s="889" t="s">
        <v>501</v>
      </c>
      <c r="I57" s="609">
        <v>7.95</v>
      </c>
      <c r="J57" s="610"/>
      <c r="K57" s="603"/>
      <c r="L57" s="603"/>
      <c r="M57" s="604">
        <f t="shared" si="1"/>
        <v>7.95</v>
      </c>
      <c r="N57" s="603">
        <v>1.59</v>
      </c>
      <c r="O57" s="91" t="s">
        <v>639</v>
      </c>
    </row>
    <row r="58" spans="2:15" s="60" customFormat="1" ht="15.75" customHeight="1">
      <c r="B58" s="884"/>
      <c r="C58" s="885"/>
      <c r="D58" s="886"/>
      <c r="E58" s="887"/>
      <c r="F58" s="144" t="s">
        <v>528</v>
      </c>
      <c r="G58" s="888"/>
      <c r="H58" s="889"/>
      <c r="I58" s="609">
        <v>3</v>
      </c>
      <c r="J58" s="610"/>
      <c r="K58" s="603"/>
      <c r="L58" s="603"/>
      <c r="M58" s="604">
        <f t="shared" si="1"/>
        <v>3</v>
      </c>
      <c r="N58" s="603"/>
      <c r="O58" s="91" t="s">
        <v>440</v>
      </c>
    </row>
    <row r="59" spans="2:15" s="60" customFormat="1" ht="15.75" customHeight="1">
      <c r="B59" s="884"/>
      <c r="C59" s="885"/>
      <c r="D59" s="886"/>
      <c r="E59" s="887"/>
      <c r="F59" s="582" t="s">
        <v>527</v>
      </c>
      <c r="G59" s="888"/>
      <c r="H59" s="889"/>
      <c r="I59" s="609">
        <v>47.88</v>
      </c>
      <c r="J59" s="610"/>
      <c r="K59" s="603"/>
      <c r="L59" s="603"/>
      <c r="M59" s="604">
        <f t="shared" si="1"/>
        <v>47.88</v>
      </c>
      <c r="N59" s="603">
        <v>9.58</v>
      </c>
      <c r="O59" s="91" t="s">
        <v>639</v>
      </c>
    </row>
    <row r="60" spans="2:15">
      <c r="B60" s="541">
        <f>B57+1</f>
        <v>44</v>
      </c>
      <c r="C60" s="622">
        <f t="shared" si="12"/>
        <v>114.05</v>
      </c>
      <c r="D60" s="542">
        <v>45128</v>
      </c>
      <c r="E60" s="699" t="s">
        <v>391</v>
      </c>
      <c r="F60" s="578" t="s">
        <v>443</v>
      </c>
      <c r="G60" s="543" t="s">
        <v>437</v>
      </c>
      <c r="H60" s="544" t="s">
        <v>441</v>
      </c>
      <c r="I60" s="605"/>
      <c r="J60" s="606">
        <v>108.63</v>
      </c>
      <c r="K60" s="605"/>
      <c r="L60" s="606"/>
      <c r="M60" s="607">
        <f t="shared" si="1"/>
        <v>108.63</v>
      </c>
      <c r="N60" s="628">
        <v>5.42</v>
      </c>
      <c r="O60" s="211" t="s">
        <v>338</v>
      </c>
    </row>
    <row r="61" spans="2:15">
      <c r="B61" s="540">
        <f>B60+1</f>
        <v>45</v>
      </c>
      <c r="C61" s="623">
        <f t="shared" ref="C61" si="14">SUM(M61:N61)</f>
        <v>9.0299999999999994</v>
      </c>
      <c r="D61" s="538">
        <v>45128</v>
      </c>
      <c r="E61" s="33" t="s">
        <v>391</v>
      </c>
      <c r="F61" s="577" t="s">
        <v>442</v>
      </c>
      <c r="G61" s="539" t="s">
        <v>437</v>
      </c>
      <c r="H61" s="25" t="s">
        <v>441</v>
      </c>
      <c r="I61" s="611"/>
      <c r="J61" s="603">
        <v>8.6</v>
      </c>
      <c r="K61" s="612"/>
      <c r="L61" s="612"/>
      <c r="M61" s="604">
        <f t="shared" si="1"/>
        <v>8.6</v>
      </c>
      <c r="N61" s="604">
        <f>M61*5%</f>
        <v>0.43</v>
      </c>
      <c r="O61" s="91" t="s">
        <v>373</v>
      </c>
    </row>
    <row r="62" spans="2:15" s="60" customFormat="1" ht="15.75" customHeight="1">
      <c r="B62" s="541">
        <f>B61+1</f>
        <v>46</v>
      </c>
      <c r="C62" s="622">
        <f t="shared" si="12"/>
        <v>579.30999999999995</v>
      </c>
      <c r="D62" s="542">
        <v>45132</v>
      </c>
      <c r="E62" s="546" t="s">
        <v>391</v>
      </c>
      <c r="F62" s="175" t="s">
        <v>529</v>
      </c>
      <c r="G62" s="543" t="s">
        <v>437</v>
      </c>
      <c r="H62" s="544" t="s">
        <v>445</v>
      </c>
      <c r="I62" s="606">
        <v>579.30999999999995</v>
      </c>
      <c r="J62" s="606"/>
      <c r="K62" s="606"/>
      <c r="L62" s="606"/>
      <c r="M62" s="607">
        <f t="shared" si="1"/>
        <v>579.30999999999995</v>
      </c>
      <c r="N62" s="630"/>
      <c r="O62" s="104" t="s">
        <v>333</v>
      </c>
    </row>
    <row r="63" spans="2:15" s="60" customFormat="1">
      <c r="B63" s="540">
        <f t="shared" si="9"/>
        <v>47</v>
      </c>
      <c r="C63" s="625">
        <f t="shared" ref="C63" si="15">SUM(M63:N63)</f>
        <v>658.62</v>
      </c>
      <c r="D63" s="538">
        <v>45138</v>
      </c>
      <c r="E63" s="33" t="s">
        <v>453</v>
      </c>
      <c r="F63" s="180" t="s">
        <v>454</v>
      </c>
      <c r="G63" s="539" t="s">
        <v>437</v>
      </c>
      <c r="H63" s="25" t="s">
        <v>455</v>
      </c>
      <c r="I63" s="616">
        <v>658.62</v>
      </c>
      <c r="J63" s="603"/>
      <c r="K63" s="603"/>
      <c r="L63" s="603"/>
      <c r="M63" s="604">
        <f t="shared" si="1"/>
        <v>658.62</v>
      </c>
      <c r="N63" s="629"/>
      <c r="O63" s="91" t="s">
        <v>333</v>
      </c>
    </row>
    <row r="64" spans="2:15" s="60" customFormat="1">
      <c r="B64" s="209">
        <f>B63+1</f>
        <v>48</v>
      </c>
      <c r="C64" s="622">
        <f t="shared" si="12"/>
        <v>60.32</v>
      </c>
      <c r="D64" s="542">
        <v>45139</v>
      </c>
      <c r="E64" s="546" t="s">
        <v>461</v>
      </c>
      <c r="F64" s="583" t="s">
        <v>533</v>
      </c>
      <c r="G64" s="543" t="s">
        <v>437</v>
      </c>
      <c r="H64" s="544" t="s">
        <v>534</v>
      </c>
      <c r="I64" s="615"/>
      <c r="J64" s="607">
        <v>50.27</v>
      </c>
      <c r="K64" s="606"/>
      <c r="L64" s="606"/>
      <c r="M64" s="607">
        <f t="shared" si="1"/>
        <v>50.27</v>
      </c>
      <c r="N64" s="630">
        <f>M64*20%</f>
        <v>10.050000000000001</v>
      </c>
      <c r="O64" s="104" t="s">
        <v>340</v>
      </c>
    </row>
    <row r="65" spans="1:16" s="60" customFormat="1">
      <c r="B65" s="139">
        <f t="shared" si="9"/>
        <v>49</v>
      </c>
      <c r="C65" s="625">
        <f t="shared" si="12"/>
        <v>148.80000000000001</v>
      </c>
      <c r="D65" s="538">
        <v>45139</v>
      </c>
      <c r="E65" s="33" t="s">
        <v>461</v>
      </c>
      <c r="F65" s="577" t="s">
        <v>535</v>
      </c>
      <c r="G65" s="539" t="s">
        <v>437</v>
      </c>
      <c r="H65" s="25" t="s">
        <v>536</v>
      </c>
      <c r="I65" s="603"/>
      <c r="J65" s="604">
        <v>124</v>
      </c>
      <c r="K65" s="603"/>
      <c r="L65" s="603"/>
      <c r="M65" s="604">
        <f t="shared" si="1"/>
        <v>124</v>
      </c>
      <c r="N65" s="631">
        <f>M65*20%</f>
        <v>24.8</v>
      </c>
      <c r="O65" s="91" t="s">
        <v>339</v>
      </c>
    </row>
    <row r="66" spans="1:16">
      <c r="B66" s="878">
        <f t="shared" si="9"/>
        <v>50</v>
      </c>
      <c r="C66" s="880">
        <f>SUM(M66:N67)</f>
        <v>470</v>
      </c>
      <c r="D66" s="882">
        <v>45139</v>
      </c>
      <c r="E66" s="883" t="s">
        <v>461</v>
      </c>
      <c r="F66" s="581" t="s">
        <v>486</v>
      </c>
      <c r="G66" s="879" t="s">
        <v>437</v>
      </c>
      <c r="H66" s="881" t="s">
        <v>504</v>
      </c>
      <c r="I66" s="605"/>
      <c r="J66" s="605">
        <v>180</v>
      </c>
      <c r="K66" s="606"/>
      <c r="L66" s="606"/>
      <c r="M66" s="607">
        <f>SUM(J66:L66)</f>
        <v>180</v>
      </c>
      <c r="N66" s="606"/>
      <c r="O66" s="104" t="s">
        <v>431</v>
      </c>
    </row>
    <row r="67" spans="1:16">
      <c r="B67" s="878"/>
      <c r="C67" s="880"/>
      <c r="D67" s="882"/>
      <c r="E67" s="883"/>
      <c r="F67" s="581" t="s">
        <v>483</v>
      </c>
      <c r="G67" s="879"/>
      <c r="H67" s="881"/>
      <c r="I67" s="605"/>
      <c r="J67" s="605">
        <v>290</v>
      </c>
      <c r="K67" s="606"/>
      <c r="L67" s="606"/>
      <c r="M67" s="607">
        <f>SUM(J67:L67)</f>
        <v>290</v>
      </c>
      <c r="N67" s="606"/>
      <c r="O67" s="104" t="s">
        <v>351</v>
      </c>
    </row>
    <row r="68" spans="1:16">
      <c r="B68" s="139">
        <f>B66+1</f>
        <v>51</v>
      </c>
      <c r="C68" s="625">
        <f>SUM(M68:N68)</f>
        <v>2200</v>
      </c>
      <c r="D68" s="538">
        <v>45139</v>
      </c>
      <c r="E68" s="33" t="s">
        <v>461</v>
      </c>
      <c r="F68" s="180" t="s">
        <v>523</v>
      </c>
      <c r="G68" s="539" t="s">
        <v>437</v>
      </c>
      <c r="H68" s="25" t="s">
        <v>524</v>
      </c>
      <c r="I68" s="616"/>
      <c r="J68" s="603">
        <v>2200</v>
      </c>
      <c r="K68" s="603"/>
      <c r="L68" s="603"/>
      <c r="M68" s="604">
        <f t="shared" ref="M68:M116" si="16">SUM(I68:L68)</f>
        <v>2200</v>
      </c>
      <c r="N68" s="629"/>
      <c r="O68" s="91" t="s">
        <v>341</v>
      </c>
    </row>
    <row r="69" spans="1:16">
      <c r="A69" s="727"/>
      <c r="B69" s="209">
        <f>B68+1</f>
        <v>52</v>
      </c>
      <c r="C69" s="622">
        <f>SUM(M69:N69)</f>
        <v>414.17</v>
      </c>
      <c r="D69" s="542">
        <v>45139</v>
      </c>
      <c r="E69" s="546" t="s">
        <v>461</v>
      </c>
      <c r="F69" s="583" t="s">
        <v>538</v>
      </c>
      <c r="G69" s="543" t="s">
        <v>437</v>
      </c>
      <c r="H69" s="544" t="s">
        <v>537</v>
      </c>
      <c r="I69" s="615"/>
      <c r="J69" s="606">
        <v>345.14</v>
      </c>
      <c r="K69" s="606"/>
      <c r="L69" s="606"/>
      <c r="M69" s="607">
        <f t="shared" si="16"/>
        <v>345.14</v>
      </c>
      <c r="N69" s="628">
        <f>M69*20%</f>
        <v>69.03</v>
      </c>
      <c r="O69" s="104" t="s">
        <v>345</v>
      </c>
    </row>
    <row r="70" spans="1:16" s="60" customFormat="1">
      <c r="B70" s="884">
        <f>B69+1</f>
        <v>53</v>
      </c>
      <c r="C70" s="885">
        <f>M70+N70+M72+N72+M71+N71</f>
        <v>36.68</v>
      </c>
      <c r="D70" s="886">
        <v>45145</v>
      </c>
      <c r="E70" s="887" t="s">
        <v>461</v>
      </c>
      <c r="F70" s="582" t="s">
        <v>541</v>
      </c>
      <c r="G70" s="888" t="s">
        <v>437</v>
      </c>
      <c r="H70" s="889" t="s">
        <v>540</v>
      </c>
      <c r="I70" s="609">
        <v>52.73</v>
      </c>
      <c r="J70" s="609"/>
      <c r="K70" s="603"/>
      <c r="L70" s="603"/>
      <c r="M70" s="604">
        <f t="shared" si="16"/>
        <v>52.73</v>
      </c>
      <c r="N70" s="631">
        <v>10.56</v>
      </c>
      <c r="O70" s="91" t="s">
        <v>335</v>
      </c>
    </row>
    <row r="71" spans="1:16" s="60" customFormat="1">
      <c r="B71" s="884"/>
      <c r="C71" s="885"/>
      <c r="D71" s="886"/>
      <c r="E71" s="887"/>
      <c r="F71" s="582" t="s">
        <v>542</v>
      </c>
      <c r="G71" s="888"/>
      <c r="H71" s="889"/>
      <c r="I71" s="617"/>
      <c r="J71" s="609">
        <v>8.32</v>
      </c>
      <c r="K71" s="603"/>
      <c r="L71" s="603"/>
      <c r="M71" s="604">
        <f t="shared" si="16"/>
        <v>8.32</v>
      </c>
      <c r="N71" s="631">
        <f>M71*20%</f>
        <v>1.66</v>
      </c>
      <c r="O71" s="91" t="s">
        <v>525</v>
      </c>
      <c r="P71" s="131"/>
    </row>
    <row r="72" spans="1:16" s="60" customFormat="1">
      <c r="B72" s="884"/>
      <c r="C72" s="885"/>
      <c r="D72" s="886"/>
      <c r="E72" s="887"/>
      <c r="F72" s="582" t="s">
        <v>539</v>
      </c>
      <c r="G72" s="888"/>
      <c r="H72" s="889"/>
      <c r="I72" s="617">
        <v>-30.49</v>
      </c>
      <c r="J72" s="609"/>
      <c r="K72" s="603"/>
      <c r="L72" s="603"/>
      <c r="M72" s="604">
        <f t="shared" si="16"/>
        <v>-30.49</v>
      </c>
      <c r="N72" s="604">
        <f>M72*20%</f>
        <v>-6.1</v>
      </c>
      <c r="O72" s="91" t="s">
        <v>335</v>
      </c>
    </row>
    <row r="73" spans="1:16" s="60" customFormat="1" ht="15.75" customHeight="1">
      <c r="B73" s="878">
        <f>B70+1</f>
        <v>54</v>
      </c>
      <c r="C73" s="880">
        <f>SUM(M73:N74)</f>
        <v>110.96</v>
      </c>
      <c r="D73" s="882">
        <v>45147</v>
      </c>
      <c r="E73" s="883" t="s">
        <v>391</v>
      </c>
      <c r="F73" s="143" t="s">
        <v>458</v>
      </c>
      <c r="G73" s="879" t="s">
        <v>437</v>
      </c>
      <c r="H73" s="881" t="s">
        <v>460</v>
      </c>
      <c r="I73" s="605">
        <v>53.69</v>
      </c>
      <c r="J73" s="695"/>
      <c r="K73" s="606"/>
      <c r="L73" s="606"/>
      <c r="M73" s="607">
        <f t="shared" si="16"/>
        <v>53.69</v>
      </c>
      <c r="N73" s="606"/>
      <c r="O73" s="104" t="s">
        <v>392</v>
      </c>
    </row>
    <row r="74" spans="1:16" s="60" customFormat="1" ht="15.75" customHeight="1">
      <c r="B74" s="878"/>
      <c r="C74" s="880"/>
      <c r="D74" s="882"/>
      <c r="E74" s="883"/>
      <c r="F74" s="143" t="s">
        <v>459</v>
      </c>
      <c r="G74" s="879"/>
      <c r="H74" s="881"/>
      <c r="I74" s="605">
        <v>57.27</v>
      </c>
      <c r="J74" s="695"/>
      <c r="K74" s="606"/>
      <c r="L74" s="606"/>
      <c r="M74" s="607">
        <f t="shared" si="16"/>
        <v>57.27</v>
      </c>
      <c r="N74" s="606"/>
      <c r="O74" s="104" t="s">
        <v>333</v>
      </c>
    </row>
    <row r="75" spans="1:16">
      <c r="B75" s="139">
        <f>B73+1</f>
        <v>55</v>
      </c>
      <c r="C75" s="625">
        <f t="shared" ref="C75:C87" si="17">SUM(M75:N75)</f>
        <v>194.42</v>
      </c>
      <c r="D75" s="538">
        <v>45152</v>
      </c>
      <c r="E75" s="33" t="s">
        <v>461</v>
      </c>
      <c r="F75" s="577" t="s">
        <v>543</v>
      </c>
      <c r="G75" s="539" t="s">
        <v>437</v>
      </c>
      <c r="H75" s="25" t="s">
        <v>544</v>
      </c>
      <c r="I75" s="616"/>
      <c r="J75" s="603">
        <v>194.42</v>
      </c>
      <c r="K75" s="603"/>
      <c r="L75" s="603"/>
      <c r="M75" s="604">
        <f t="shared" si="16"/>
        <v>194.42</v>
      </c>
      <c r="N75" s="629"/>
      <c r="O75" s="91" t="s">
        <v>345</v>
      </c>
    </row>
    <row r="76" spans="1:16">
      <c r="B76" s="209">
        <f>B75+1</f>
        <v>56</v>
      </c>
      <c r="C76" s="622">
        <f t="shared" si="17"/>
        <v>216</v>
      </c>
      <c r="D76" s="542">
        <v>45152</v>
      </c>
      <c r="E76" s="546" t="s">
        <v>461</v>
      </c>
      <c r="F76" s="583" t="s">
        <v>545</v>
      </c>
      <c r="G76" s="543" t="s">
        <v>437</v>
      </c>
      <c r="H76" s="544" t="s">
        <v>546</v>
      </c>
      <c r="I76" s="615"/>
      <c r="J76" s="607">
        <v>180</v>
      </c>
      <c r="K76" s="606"/>
      <c r="L76" s="606"/>
      <c r="M76" s="607">
        <f t="shared" si="16"/>
        <v>180</v>
      </c>
      <c r="N76" s="630">
        <f>M76*20%</f>
        <v>36</v>
      </c>
      <c r="O76" s="104" t="s">
        <v>345</v>
      </c>
    </row>
    <row r="77" spans="1:16">
      <c r="B77" s="540">
        <f t="shared" ref="B77" si="18">B76+1</f>
        <v>57</v>
      </c>
      <c r="C77" s="623">
        <f t="shared" si="17"/>
        <v>3</v>
      </c>
      <c r="D77" s="538">
        <v>45154</v>
      </c>
      <c r="E77" s="33" t="s">
        <v>435</v>
      </c>
      <c r="F77" s="144" t="s">
        <v>500</v>
      </c>
      <c r="G77" s="539" t="s">
        <v>437</v>
      </c>
      <c r="H77" s="25" t="s">
        <v>501</v>
      </c>
      <c r="I77" s="609">
        <v>3</v>
      </c>
      <c r="J77" s="609"/>
      <c r="K77" s="603"/>
      <c r="L77" s="603"/>
      <c r="M77" s="604">
        <f t="shared" si="16"/>
        <v>3</v>
      </c>
      <c r="N77" s="631"/>
      <c r="O77" s="91" t="s">
        <v>440</v>
      </c>
    </row>
    <row r="78" spans="1:16">
      <c r="B78" s="541">
        <f>B77+1</f>
        <v>58</v>
      </c>
      <c r="C78" s="622">
        <f t="shared" si="17"/>
        <v>103.99</v>
      </c>
      <c r="D78" s="542">
        <v>45128</v>
      </c>
      <c r="E78" s="699" t="s">
        <v>391</v>
      </c>
      <c r="F78" s="578" t="s">
        <v>443</v>
      </c>
      <c r="G78" s="543" t="s">
        <v>437</v>
      </c>
      <c r="H78" s="544" t="s">
        <v>441</v>
      </c>
      <c r="I78" s="605"/>
      <c r="J78" s="606">
        <v>99.05</v>
      </c>
      <c r="K78" s="605"/>
      <c r="L78" s="606"/>
      <c r="M78" s="607">
        <f t="shared" si="16"/>
        <v>99.05</v>
      </c>
      <c r="N78" s="628">
        <v>4.9400000000000004</v>
      </c>
      <c r="O78" s="211" t="s">
        <v>338</v>
      </c>
    </row>
    <row r="79" spans="1:16">
      <c r="B79" s="540">
        <f>B78+1</f>
        <v>59</v>
      </c>
      <c r="C79" s="623">
        <f t="shared" si="17"/>
        <v>8.69</v>
      </c>
      <c r="D79" s="538">
        <v>45128</v>
      </c>
      <c r="E79" s="33" t="s">
        <v>391</v>
      </c>
      <c r="F79" s="577" t="s">
        <v>442</v>
      </c>
      <c r="G79" s="539" t="s">
        <v>437</v>
      </c>
      <c r="H79" s="25" t="s">
        <v>441</v>
      </c>
      <c r="I79" s="611"/>
      <c r="J79" s="603">
        <v>8.2799999999999994</v>
      </c>
      <c r="K79" s="612"/>
      <c r="L79" s="612"/>
      <c r="M79" s="604">
        <f t="shared" si="16"/>
        <v>8.2799999999999994</v>
      </c>
      <c r="N79" s="604">
        <f>M79*5%</f>
        <v>0.41</v>
      </c>
      <c r="O79" s="91" t="s">
        <v>373</v>
      </c>
    </row>
    <row r="80" spans="1:16" s="60" customFormat="1">
      <c r="B80" s="541">
        <f t="shared" ref="B80" si="19">B79+1</f>
        <v>60</v>
      </c>
      <c r="C80" s="622">
        <f t="shared" si="17"/>
        <v>658.62</v>
      </c>
      <c r="D80" s="542">
        <v>45169</v>
      </c>
      <c r="E80" s="546" t="s">
        <v>453</v>
      </c>
      <c r="F80" s="175" t="s">
        <v>454</v>
      </c>
      <c r="G80" s="543" t="s">
        <v>437</v>
      </c>
      <c r="H80" s="544" t="s">
        <v>455</v>
      </c>
      <c r="I80" s="615">
        <v>658.62</v>
      </c>
      <c r="J80" s="606"/>
      <c r="K80" s="606"/>
      <c r="L80" s="606"/>
      <c r="M80" s="607">
        <f t="shared" si="16"/>
        <v>658.62</v>
      </c>
      <c r="N80" s="628"/>
      <c r="O80" s="104" t="s">
        <v>333</v>
      </c>
    </row>
    <row r="81" spans="2:17" s="60" customFormat="1" ht="15.75" customHeight="1">
      <c r="B81" s="884">
        <f>B80+1</f>
        <v>61</v>
      </c>
      <c r="C81" s="885">
        <f>SUM(M81:N82)</f>
        <v>110.96</v>
      </c>
      <c r="D81" s="886">
        <v>45177</v>
      </c>
      <c r="E81" s="887" t="s">
        <v>391</v>
      </c>
      <c r="F81" s="144" t="s">
        <v>458</v>
      </c>
      <c r="G81" s="888" t="s">
        <v>437</v>
      </c>
      <c r="H81" s="889" t="s">
        <v>460</v>
      </c>
      <c r="I81" s="609">
        <v>53.69</v>
      </c>
      <c r="J81" s="610"/>
      <c r="K81" s="603"/>
      <c r="L81" s="603"/>
      <c r="M81" s="604">
        <f t="shared" si="16"/>
        <v>53.69</v>
      </c>
      <c r="N81" s="603"/>
      <c r="O81" s="91" t="s">
        <v>392</v>
      </c>
    </row>
    <row r="82" spans="2:17" s="60" customFormat="1" ht="15.75" customHeight="1">
      <c r="B82" s="884"/>
      <c r="C82" s="885"/>
      <c r="D82" s="886"/>
      <c r="E82" s="887"/>
      <c r="F82" s="144" t="s">
        <v>459</v>
      </c>
      <c r="G82" s="888"/>
      <c r="H82" s="889"/>
      <c r="I82" s="609">
        <v>57.27</v>
      </c>
      <c r="J82" s="610"/>
      <c r="K82" s="603"/>
      <c r="L82" s="603"/>
      <c r="M82" s="604">
        <f t="shared" si="16"/>
        <v>57.27</v>
      </c>
      <c r="N82" s="603"/>
      <c r="O82" s="91" t="s">
        <v>333</v>
      </c>
    </row>
    <row r="83" spans="2:17" s="60" customFormat="1">
      <c r="B83" s="541">
        <f>B81+1</f>
        <v>62</v>
      </c>
      <c r="C83" s="624">
        <f>SUM(M83:N83)</f>
        <v>3</v>
      </c>
      <c r="D83" s="542">
        <v>45187</v>
      </c>
      <c r="E83" s="546" t="s">
        <v>435</v>
      </c>
      <c r="F83" s="175" t="s">
        <v>500</v>
      </c>
      <c r="G83" s="543" t="s">
        <v>437</v>
      </c>
      <c r="H83" s="544" t="s">
        <v>501</v>
      </c>
      <c r="I83" s="606">
        <v>3</v>
      </c>
      <c r="J83" s="606"/>
      <c r="K83" s="606"/>
      <c r="L83" s="606"/>
      <c r="M83" s="607">
        <f t="shared" si="16"/>
        <v>3</v>
      </c>
      <c r="N83" s="628"/>
      <c r="O83" s="104" t="s">
        <v>440</v>
      </c>
    </row>
    <row r="84" spans="2:17">
      <c r="B84" s="139">
        <f>B83+1</f>
        <v>63</v>
      </c>
      <c r="C84" s="625">
        <f t="shared" si="17"/>
        <v>110.71</v>
      </c>
      <c r="D84" s="538">
        <v>45190</v>
      </c>
      <c r="E84" s="33" t="s">
        <v>391</v>
      </c>
      <c r="F84" s="577" t="s">
        <v>443</v>
      </c>
      <c r="G84" s="539" t="s">
        <v>437</v>
      </c>
      <c r="H84" s="25" t="s">
        <v>441</v>
      </c>
      <c r="I84" s="616"/>
      <c r="J84" s="604">
        <v>105.44</v>
      </c>
      <c r="K84" s="603"/>
      <c r="L84" s="603"/>
      <c r="M84" s="604">
        <f t="shared" si="16"/>
        <v>105.44</v>
      </c>
      <c r="N84" s="631">
        <f>M84*5%</f>
        <v>5.27</v>
      </c>
      <c r="O84" s="91" t="s">
        <v>338</v>
      </c>
    </row>
    <row r="85" spans="2:17">
      <c r="B85" s="541">
        <f>B84+1</f>
        <v>64</v>
      </c>
      <c r="C85" s="622">
        <f t="shared" si="17"/>
        <v>9.0299999999999994</v>
      </c>
      <c r="D85" s="542">
        <v>45190</v>
      </c>
      <c r="E85" s="546" t="s">
        <v>391</v>
      </c>
      <c r="F85" s="583" t="s">
        <v>442</v>
      </c>
      <c r="G85" s="543" t="s">
        <v>437</v>
      </c>
      <c r="H85" s="544" t="s">
        <v>441</v>
      </c>
      <c r="I85" s="615"/>
      <c r="J85" s="606">
        <v>8.6</v>
      </c>
      <c r="K85" s="606"/>
      <c r="L85" s="606"/>
      <c r="M85" s="607">
        <f t="shared" si="16"/>
        <v>8.6</v>
      </c>
      <c r="N85" s="628">
        <f>M85*5%</f>
        <v>0.43</v>
      </c>
      <c r="O85" s="104" t="s">
        <v>373</v>
      </c>
    </row>
    <row r="86" spans="2:17" s="60" customFormat="1" ht="15.75" customHeight="1">
      <c r="B86" s="540">
        <f>B85+1</f>
        <v>65</v>
      </c>
      <c r="C86" s="625">
        <f t="shared" si="17"/>
        <v>378</v>
      </c>
      <c r="D86" s="538">
        <v>45197</v>
      </c>
      <c r="E86" s="33" t="s">
        <v>461</v>
      </c>
      <c r="F86" s="577" t="s">
        <v>553</v>
      </c>
      <c r="G86" s="539" t="s">
        <v>437</v>
      </c>
      <c r="H86" s="25" t="s">
        <v>554</v>
      </c>
      <c r="I86" s="603">
        <v>315</v>
      </c>
      <c r="J86" s="603"/>
      <c r="K86" s="603"/>
      <c r="L86" s="603"/>
      <c r="M86" s="604">
        <f t="shared" si="16"/>
        <v>315</v>
      </c>
      <c r="N86" s="629">
        <f>M86*20%</f>
        <v>63</v>
      </c>
      <c r="O86" s="91" t="s">
        <v>344</v>
      </c>
    </row>
    <row r="87" spans="2:17" s="60" customFormat="1" ht="15.75" customHeight="1">
      <c r="B87" s="541">
        <f t="shared" ref="B87" si="20">B86+1</f>
        <v>66</v>
      </c>
      <c r="C87" s="622">
        <f t="shared" si="17"/>
        <v>4200</v>
      </c>
      <c r="D87" s="542">
        <v>45197</v>
      </c>
      <c r="E87" s="546" t="s">
        <v>461</v>
      </c>
      <c r="F87" s="581" t="s">
        <v>555</v>
      </c>
      <c r="G87" s="543" t="s">
        <v>437</v>
      </c>
      <c r="H87" s="544" t="s">
        <v>556</v>
      </c>
      <c r="I87" s="605">
        <v>3500</v>
      </c>
      <c r="J87" s="605"/>
      <c r="K87" s="606"/>
      <c r="L87" s="606"/>
      <c r="M87" s="607">
        <f t="shared" si="16"/>
        <v>3500</v>
      </c>
      <c r="N87" s="630">
        <f>M87*20%</f>
        <v>700</v>
      </c>
      <c r="O87" s="104" t="s">
        <v>353</v>
      </c>
    </row>
    <row r="88" spans="2:17" ht="15" customHeight="1">
      <c r="B88" s="139">
        <f>B87+1</f>
        <v>67</v>
      </c>
      <c r="C88" s="625">
        <f t="shared" ref="C88:C95" si="21">SUM(M88:N88)</f>
        <v>59.99</v>
      </c>
      <c r="D88" s="538">
        <v>45197</v>
      </c>
      <c r="E88" s="33" t="s">
        <v>461</v>
      </c>
      <c r="F88" s="582" t="s">
        <v>557</v>
      </c>
      <c r="G88" s="539" t="s">
        <v>437</v>
      </c>
      <c r="H88" s="25" t="s">
        <v>558</v>
      </c>
      <c r="I88" s="603">
        <v>49.99</v>
      </c>
      <c r="J88" s="604"/>
      <c r="K88" s="603"/>
      <c r="L88" s="603"/>
      <c r="M88" s="604">
        <f t="shared" si="16"/>
        <v>49.99</v>
      </c>
      <c r="N88" s="631">
        <f>M88*20%</f>
        <v>10</v>
      </c>
      <c r="O88" s="91" t="s">
        <v>639</v>
      </c>
    </row>
    <row r="89" spans="2:17">
      <c r="B89" s="541">
        <f t="shared" ref="B89:B96" si="22">B88+1</f>
        <v>68</v>
      </c>
      <c r="C89" s="622">
        <f t="shared" si="21"/>
        <v>54.91</v>
      </c>
      <c r="D89" s="542">
        <v>45197</v>
      </c>
      <c r="E89" s="546" t="s">
        <v>461</v>
      </c>
      <c r="F89" s="583" t="s">
        <v>506</v>
      </c>
      <c r="G89" s="543" t="s">
        <v>437</v>
      </c>
      <c r="H89" s="544" t="s">
        <v>507</v>
      </c>
      <c r="I89" s="606"/>
      <c r="J89" s="606">
        <v>54.91</v>
      </c>
      <c r="K89" s="606"/>
      <c r="L89" s="606"/>
      <c r="M89" s="607">
        <f t="shared" si="16"/>
        <v>54.91</v>
      </c>
      <c r="N89" s="628"/>
      <c r="O89" s="104" t="s">
        <v>345</v>
      </c>
    </row>
    <row r="90" spans="2:17" s="60" customFormat="1">
      <c r="B90" s="540">
        <f t="shared" si="22"/>
        <v>69</v>
      </c>
      <c r="C90" s="625">
        <f t="shared" si="21"/>
        <v>39.700000000000003</v>
      </c>
      <c r="D90" s="538">
        <v>45197</v>
      </c>
      <c r="E90" s="33" t="s">
        <v>461</v>
      </c>
      <c r="F90" s="577" t="s">
        <v>559</v>
      </c>
      <c r="G90" s="539" t="s">
        <v>437</v>
      </c>
      <c r="H90" s="25" t="s">
        <v>464</v>
      </c>
      <c r="I90" s="616"/>
      <c r="J90" s="603">
        <v>33.08</v>
      </c>
      <c r="K90" s="603"/>
      <c r="L90" s="603"/>
      <c r="M90" s="604">
        <f t="shared" si="16"/>
        <v>33.08</v>
      </c>
      <c r="N90" s="629">
        <v>6.62</v>
      </c>
      <c r="O90" s="91" t="s">
        <v>352</v>
      </c>
      <c r="Q90" s="60">
        <f>39.7-6.62</f>
        <v>33.08</v>
      </c>
    </row>
    <row r="91" spans="2:17" s="60" customFormat="1">
      <c r="B91" s="541">
        <f t="shared" si="22"/>
        <v>70</v>
      </c>
      <c r="C91" s="622">
        <f t="shared" si="21"/>
        <v>5.94</v>
      </c>
      <c r="D91" s="542">
        <v>45197</v>
      </c>
      <c r="E91" s="546" t="s">
        <v>461</v>
      </c>
      <c r="F91" s="578" t="s">
        <v>560</v>
      </c>
      <c r="G91" s="543" t="s">
        <v>437</v>
      </c>
      <c r="H91" s="544" t="s">
        <v>540</v>
      </c>
      <c r="I91" s="605"/>
      <c r="J91" s="605">
        <v>4.95</v>
      </c>
      <c r="K91" s="605"/>
      <c r="L91" s="606"/>
      <c r="M91" s="607">
        <f t="shared" si="16"/>
        <v>4.95</v>
      </c>
      <c r="N91" s="628">
        <f>M91*20%</f>
        <v>0.99</v>
      </c>
      <c r="O91" s="211" t="s">
        <v>373</v>
      </c>
    </row>
    <row r="92" spans="2:17">
      <c r="B92" s="884">
        <f t="shared" si="22"/>
        <v>71</v>
      </c>
      <c r="C92" s="885">
        <f>SUM(M92:N93)</f>
        <v>830</v>
      </c>
      <c r="D92" s="886">
        <v>45197</v>
      </c>
      <c r="E92" s="887" t="s">
        <v>461</v>
      </c>
      <c r="F92" s="582" t="s">
        <v>486</v>
      </c>
      <c r="G92" s="888" t="s">
        <v>437</v>
      </c>
      <c r="H92" s="889" t="s">
        <v>504</v>
      </c>
      <c r="J92" s="609">
        <v>270</v>
      </c>
      <c r="K92" s="603"/>
      <c r="L92" s="603"/>
      <c r="M92" s="604">
        <f>SUM(J92:L92)</f>
        <v>270</v>
      </c>
      <c r="N92" s="603"/>
      <c r="O92" s="91" t="s">
        <v>431</v>
      </c>
    </row>
    <row r="93" spans="2:17">
      <c r="B93" s="884"/>
      <c r="C93" s="885"/>
      <c r="D93" s="886"/>
      <c r="E93" s="887"/>
      <c r="F93" s="582" t="s">
        <v>483</v>
      </c>
      <c r="G93" s="888"/>
      <c r="H93" s="889"/>
      <c r="J93" s="609">
        <v>560</v>
      </c>
      <c r="K93" s="603"/>
      <c r="L93" s="603"/>
      <c r="M93" s="604">
        <f>SUM(J93:L93)</f>
        <v>560</v>
      </c>
      <c r="N93" s="603"/>
      <c r="O93" s="91" t="s">
        <v>351</v>
      </c>
    </row>
    <row r="94" spans="2:17" s="60" customFormat="1">
      <c r="B94" s="541">
        <f>B92+1</f>
        <v>72</v>
      </c>
      <c r="C94" s="626">
        <f t="shared" si="21"/>
        <v>56.34</v>
      </c>
      <c r="D94" s="542">
        <v>45197</v>
      </c>
      <c r="E94" s="546" t="s">
        <v>461</v>
      </c>
      <c r="F94" s="583" t="s">
        <v>562</v>
      </c>
      <c r="G94" s="543" t="s">
        <v>437</v>
      </c>
      <c r="H94" s="544" t="s">
        <v>487</v>
      </c>
      <c r="I94" s="606"/>
      <c r="J94" s="606">
        <v>46.95</v>
      </c>
      <c r="K94" s="606"/>
      <c r="L94" s="606"/>
      <c r="M94" s="607">
        <f t="shared" si="16"/>
        <v>46.95</v>
      </c>
      <c r="N94" s="628">
        <f>M94*20%</f>
        <v>9.39</v>
      </c>
      <c r="O94" s="104" t="s">
        <v>373</v>
      </c>
    </row>
    <row r="95" spans="2:17" ht="14.25" customHeight="1">
      <c r="B95" s="139">
        <f t="shared" si="22"/>
        <v>73</v>
      </c>
      <c r="C95" s="627">
        <f t="shared" si="21"/>
        <v>18</v>
      </c>
      <c r="D95" s="538">
        <v>45199</v>
      </c>
      <c r="E95" s="33" t="s">
        <v>435</v>
      </c>
      <c r="F95" s="144" t="s">
        <v>561</v>
      </c>
      <c r="G95" s="539" t="s">
        <v>437</v>
      </c>
      <c r="H95" s="25" t="s">
        <v>457</v>
      </c>
      <c r="I95" s="609">
        <v>18</v>
      </c>
      <c r="J95" s="609"/>
      <c r="K95" s="603"/>
      <c r="L95" s="603"/>
      <c r="M95" s="604">
        <f t="shared" si="16"/>
        <v>18</v>
      </c>
      <c r="N95" s="629"/>
      <c r="O95" s="91" t="s">
        <v>440</v>
      </c>
    </row>
    <row r="96" spans="2:17" s="60" customFormat="1">
      <c r="B96" s="541">
        <f t="shared" si="22"/>
        <v>74</v>
      </c>
      <c r="C96" s="626">
        <f t="shared" ref="C96" si="23">SUM(M96:N96)</f>
        <v>658.62</v>
      </c>
      <c r="D96" s="542">
        <v>45201</v>
      </c>
      <c r="E96" s="546" t="s">
        <v>453</v>
      </c>
      <c r="F96" s="175" t="s">
        <v>454</v>
      </c>
      <c r="G96" s="543" t="s">
        <v>437</v>
      </c>
      <c r="H96" s="544" t="s">
        <v>455</v>
      </c>
      <c r="I96" s="606">
        <v>658.62</v>
      </c>
      <c r="J96" s="606"/>
      <c r="K96" s="606"/>
      <c r="L96" s="606"/>
      <c r="M96" s="607">
        <f t="shared" si="16"/>
        <v>658.62</v>
      </c>
      <c r="N96" s="628"/>
      <c r="O96" s="104" t="s">
        <v>333</v>
      </c>
    </row>
    <row r="97" spans="2:15" s="60" customFormat="1" ht="15.75" customHeight="1">
      <c r="B97" s="884">
        <f>B96+1</f>
        <v>75</v>
      </c>
      <c r="C97" s="885">
        <f>SUM(M97:N98)</f>
        <v>110.96</v>
      </c>
      <c r="D97" s="886">
        <v>45208</v>
      </c>
      <c r="E97" s="887" t="s">
        <v>391</v>
      </c>
      <c r="F97" s="144" t="s">
        <v>458</v>
      </c>
      <c r="G97" s="888" t="s">
        <v>437</v>
      </c>
      <c r="H97" s="889" t="s">
        <v>460</v>
      </c>
      <c r="I97" s="609">
        <v>53.69</v>
      </c>
      <c r="J97" s="610"/>
      <c r="K97" s="603"/>
      <c r="L97" s="603"/>
      <c r="M97" s="604">
        <f t="shared" si="16"/>
        <v>53.69</v>
      </c>
      <c r="N97" s="603"/>
      <c r="O97" s="91" t="s">
        <v>392</v>
      </c>
    </row>
    <row r="98" spans="2:15" s="60" customFormat="1" ht="15.75" customHeight="1">
      <c r="B98" s="884"/>
      <c r="C98" s="885"/>
      <c r="D98" s="886"/>
      <c r="E98" s="887"/>
      <c r="F98" s="144" t="s">
        <v>459</v>
      </c>
      <c r="G98" s="888"/>
      <c r="H98" s="889"/>
      <c r="I98" s="609">
        <v>57.27</v>
      </c>
      <c r="J98" s="610"/>
      <c r="K98" s="603"/>
      <c r="L98" s="603"/>
      <c r="M98" s="604">
        <f t="shared" si="16"/>
        <v>57.27</v>
      </c>
      <c r="N98" s="603"/>
      <c r="O98" s="91" t="s">
        <v>333</v>
      </c>
    </row>
    <row r="99" spans="2:15" s="60" customFormat="1">
      <c r="B99" s="541">
        <f>B97+1</f>
        <v>76</v>
      </c>
      <c r="C99" s="624">
        <f>SUM(M99:N99)</f>
        <v>3</v>
      </c>
      <c r="D99" s="542">
        <v>45215</v>
      </c>
      <c r="E99" s="546" t="s">
        <v>435</v>
      </c>
      <c r="F99" s="175" t="s">
        <v>500</v>
      </c>
      <c r="G99" s="543" t="s">
        <v>437</v>
      </c>
      <c r="H99" s="544" t="s">
        <v>501</v>
      </c>
      <c r="I99" s="606">
        <v>3</v>
      </c>
      <c r="J99" s="606"/>
      <c r="K99" s="606"/>
      <c r="L99" s="606"/>
      <c r="M99" s="607">
        <f t="shared" si="16"/>
        <v>3</v>
      </c>
      <c r="N99" s="628"/>
      <c r="O99" s="104" t="s">
        <v>440</v>
      </c>
    </row>
    <row r="100" spans="2:15">
      <c r="B100" s="139">
        <f>B99+1</f>
        <v>77</v>
      </c>
      <c r="C100" s="625">
        <f t="shared" ref="C100:C101" si="24">SUM(M100:N100)</f>
        <v>110.71</v>
      </c>
      <c r="D100" s="538">
        <v>45219</v>
      </c>
      <c r="E100" s="33" t="s">
        <v>391</v>
      </c>
      <c r="F100" s="577" t="s">
        <v>443</v>
      </c>
      <c r="G100" s="539" t="s">
        <v>437</v>
      </c>
      <c r="H100" s="25" t="s">
        <v>441</v>
      </c>
      <c r="I100" s="616"/>
      <c r="J100" s="604">
        <v>105.44</v>
      </c>
      <c r="K100" s="603"/>
      <c r="L100" s="603"/>
      <c r="M100" s="604">
        <f t="shared" si="16"/>
        <v>105.44</v>
      </c>
      <c r="N100" s="631">
        <f>M100*5%</f>
        <v>5.27</v>
      </c>
      <c r="O100" s="91" t="s">
        <v>338</v>
      </c>
    </row>
    <row r="101" spans="2:15">
      <c r="B101" s="541">
        <f>B100+1</f>
        <v>78</v>
      </c>
      <c r="C101" s="622">
        <f t="shared" si="24"/>
        <v>9.0299999999999994</v>
      </c>
      <c r="D101" s="542">
        <v>45219</v>
      </c>
      <c r="E101" s="546" t="s">
        <v>391</v>
      </c>
      <c r="F101" s="583" t="s">
        <v>442</v>
      </c>
      <c r="G101" s="543" t="s">
        <v>437</v>
      </c>
      <c r="H101" s="544" t="s">
        <v>441</v>
      </c>
      <c r="I101" s="615"/>
      <c r="J101" s="606">
        <v>8.6</v>
      </c>
      <c r="K101" s="606"/>
      <c r="L101" s="606"/>
      <c r="M101" s="607">
        <f t="shared" si="16"/>
        <v>8.6</v>
      </c>
      <c r="N101" s="628">
        <f>M101*5%</f>
        <v>0.43</v>
      </c>
      <c r="O101" s="104" t="s">
        <v>373</v>
      </c>
    </row>
    <row r="102" spans="2:15">
      <c r="B102" s="540">
        <f>B101+1</f>
        <v>79</v>
      </c>
      <c r="C102" s="627">
        <f t="shared" ref="C102:C103" si="25">SUM(M102:N102)</f>
        <v>593.66999999999996</v>
      </c>
      <c r="D102" s="538">
        <v>45224</v>
      </c>
      <c r="E102" s="33" t="s">
        <v>391</v>
      </c>
      <c r="F102" s="144" t="s">
        <v>444</v>
      </c>
      <c r="G102" s="539" t="s">
        <v>437</v>
      </c>
      <c r="H102" s="25" t="s">
        <v>445</v>
      </c>
      <c r="I102" s="609">
        <v>593.66999999999996</v>
      </c>
      <c r="J102" s="609"/>
      <c r="K102" s="603"/>
      <c r="L102" s="603"/>
      <c r="M102" s="604">
        <f t="shared" si="16"/>
        <v>593.66999999999996</v>
      </c>
      <c r="N102" s="629"/>
      <c r="O102" s="91" t="s">
        <v>333</v>
      </c>
    </row>
    <row r="103" spans="2:15">
      <c r="B103" s="209">
        <f t="shared" ref="B103:B104" si="26">B102+1</f>
        <v>80</v>
      </c>
      <c r="C103" s="626">
        <f t="shared" si="25"/>
        <v>658.62</v>
      </c>
      <c r="D103" s="542">
        <v>45230</v>
      </c>
      <c r="E103" s="546" t="s">
        <v>453</v>
      </c>
      <c r="F103" s="143" t="s">
        <v>454</v>
      </c>
      <c r="G103" s="543" t="s">
        <v>437</v>
      </c>
      <c r="H103" s="544" t="s">
        <v>455</v>
      </c>
      <c r="I103" s="605">
        <v>658.62</v>
      </c>
      <c r="J103" s="605"/>
      <c r="K103" s="606"/>
      <c r="L103" s="606"/>
      <c r="M103" s="607">
        <f t="shared" si="16"/>
        <v>658.62</v>
      </c>
      <c r="N103" s="628"/>
      <c r="O103" s="104" t="s">
        <v>333</v>
      </c>
    </row>
    <row r="104" spans="2:15">
      <c r="B104" s="884">
        <f t="shared" si="26"/>
        <v>81</v>
      </c>
      <c r="C104" s="885">
        <f>SUM(M104:N105)</f>
        <v>470</v>
      </c>
      <c r="D104" s="886">
        <v>45236</v>
      </c>
      <c r="E104" s="887" t="s">
        <v>461</v>
      </c>
      <c r="F104" s="582" t="s">
        <v>486</v>
      </c>
      <c r="G104" s="888" t="s">
        <v>437</v>
      </c>
      <c r="H104" s="889" t="s">
        <v>504</v>
      </c>
      <c r="J104" s="609">
        <v>200</v>
      </c>
      <c r="K104" s="603"/>
      <c r="L104" s="603"/>
      <c r="M104" s="604">
        <f>SUM(J104:L104)</f>
        <v>200</v>
      </c>
      <c r="N104" s="603"/>
      <c r="O104" s="91" t="s">
        <v>431</v>
      </c>
    </row>
    <row r="105" spans="2:15">
      <c r="B105" s="884"/>
      <c r="C105" s="885"/>
      <c r="D105" s="886"/>
      <c r="E105" s="887"/>
      <c r="F105" s="582" t="s">
        <v>483</v>
      </c>
      <c r="G105" s="888"/>
      <c r="H105" s="889"/>
      <c r="J105" s="609">
        <v>270</v>
      </c>
      <c r="K105" s="603"/>
      <c r="L105" s="603"/>
      <c r="M105" s="604">
        <f>SUM(J105:L105)</f>
        <v>270</v>
      </c>
      <c r="N105" s="603"/>
      <c r="O105" s="91" t="s">
        <v>351</v>
      </c>
    </row>
    <row r="106" spans="2:15" s="60" customFormat="1">
      <c r="B106" s="209">
        <f>B104+1</f>
        <v>82</v>
      </c>
      <c r="C106" s="626">
        <f t="shared" ref="C106:C107" si="27">SUM(M106:N106)</f>
        <v>360</v>
      </c>
      <c r="D106" s="542">
        <v>45236</v>
      </c>
      <c r="E106" s="546" t="s">
        <v>461</v>
      </c>
      <c r="F106" s="583" t="s">
        <v>576</v>
      </c>
      <c r="G106" s="543" t="s">
        <v>437</v>
      </c>
      <c r="H106" s="544" t="s">
        <v>534</v>
      </c>
      <c r="I106" s="606"/>
      <c r="J106" s="606">
        <v>300</v>
      </c>
      <c r="K106" s="606"/>
      <c r="L106" s="606"/>
      <c r="M106" s="607">
        <f t="shared" si="16"/>
        <v>300</v>
      </c>
      <c r="N106" s="628">
        <f>M106*20%</f>
        <v>60</v>
      </c>
      <c r="O106" s="104" t="s">
        <v>345</v>
      </c>
    </row>
    <row r="107" spans="2:15" s="60" customFormat="1">
      <c r="B107" s="139">
        <f t="shared" ref="B107" si="28">B106+1</f>
        <v>83</v>
      </c>
      <c r="C107" s="627">
        <f t="shared" si="27"/>
        <v>535</v>
      </c>
      <c r="D107" s="538">
        <v>45236</v>
      </c>
      <c r="E107" s="33" t="s">
        <v>461</v>
      </c>
      <c r="F107" s="582" t="s">
        <v>577</v>
      </c>
      <c r="G107" s="539" t="s">
        <v>437</v>
      </c>
      <c r="H107" s="25" t="s">
        <v>463</v>
      </c>
      <c r="I107" s="609"/>
      <c r="J107" s="609">
        <v>535</v>
      </c>
      <c r="K107" s="603"/>
      <c r="L107" s="603"/>
      <c r="M107" s="604">
        <f t="shared" si="16"/>
        <v>535</v>
      </c>
      <c r="N107" s="629"/>
      <c r="O107" s="91" t="s">
        <v>373</v>
      </c>
    </row>
    <row r="108" spans="2:15" s="60" customFormat="1" ht="15.75" customHeight="1">
      <c r="B108" s="878">
        <f>B107+1</f>
        <v>84</v>
      </c>
      <c r="C108" s="880">
        <f>SUM(+M108+N108+M110+N110+M111+N111+M109+N109)</f>
        <v>339.58</v>
      </c>
      <c r="D108" s="882">
        <v>45124</v>
      </c>
      <c r="E108" s="883" t="s">
        <v>391</v>
      </c>
      <c r="F108" s="581" t="s">
        <v>579</v>
      </c>
      <c r="G108" s="879" t="s">
        <v>437</v>
      </c>
      <c r="H108" s="881" t="s">
        <v>501</v>
      </c>
      <c r="I108" s="605"/>
      <c r="J108" s="695">
        <v>5.48</v>
      </c>
      <c r="K108" s="606"/>
      <c r="L108" s="606"/>
      <c r="M108" s="607">
        <f t="shared" si="16"/>
        <v>5.48</v>
      </c>
      <c r="N108" s="606">
        <f>M108*20%</f>
        <v>1.1000000000000001</v>
      </c>
      <c r="O108" s="104" t="s">
        <v>345</v>
      </c>
    </row>
    <row r="109" spans="2:15" s="60" customFormat="1" ht="15.75" customHeight="1">
      <c r="B109" s="878"/>
      <c r="C109" s="880"/>
      <c r="D109" s="882"/>
      <c r="E109" s="883"/>
      <c r="F109" s="581" t="s">
        <v>580</v>
      </c>
      <c r="G109" s="879"/>
      <c r="H109" s="881"/>
      <c r="I109" s="605"/>
      <c r="J109" s="695">
        <v>14.4</v>
      </c>
      <c r="K109" s="606"/>
      <c r="L109" s="606"/>
      <c r="M109" s="607">
        <f t="shared" si="16"/>
        <v>14.4</v>
      </c>
      <c r="N109" s="606"/>
      <c r="O109" s="104" t="s">
        <v>352</v>
      </c>
    </row>
    <row r="110" spans="2:15" s="60" customFormat="1" ht="15.75" customHeight="1">
      <c r="B110" s="878"/>
      <c r="C110" s="880"/>
      <c r="D110" s="882"/>
      <c r="E110" s="883"/>
      <c r="F110" s="143" t="s">
        <v>578</v>
      </c>
      <c r="G110" s="879"/>
      <c r="H110" s="881"/>
      <c r="I110" s="605">
        <v>3</v>
      </c>
      <c r="J110" s="695"/>
      <c r="K110" s="606"/>
      <c r="L110" s="606"/>
      <c r="M110" s="607">
        <f t="shared" si="16"/>
        <v>3</v>
      </c>
      <c r="N110" s="606"/>
      <c r="O110" s="104" t="s">
        <v>440</v>
      </c>
    </row>
    <row r="111" spans="2:15" s="60" customFormat="1" ht="15.75" customHeight="1">
      <c r="B111" s="878"/>
      <c r="C111" s="880"/>
      <c r="D111" s="882"/>
      <c r="E111" s="883"/>
      <c r="F111" s="581" t="s">
        <v>581</v>
      </c>
      <c r="G111" s="879"/>
      <c r="H111" s="881"/>
      <c r="I111" s="605"/>
      <c r="J111" s="695">
        <v>263</v>
      </c>
      <c r="K111" s="606"/>
      <c r="L111" s="606"/>
      <c r="M111" s="607">
        <f t="shared" si="16"/>
        <v>263</v>
      </c>
      <c r="N111" s="606">
        <f>M111*20%</f>
        <v>52.6</v>
      </c>
      <c r="O111" s="104" t="s">
        <v>345</v>
      </c>
    </row>
    <row r="112" spans="2:15" s="60" customFormat="1" ht="15.75" customHeight="1">
      <c r="B112" s="884">
        <f>B108+1</f>
        <v>85</v>
      </c>
      <c r="C112" s="885">
        <f>SUM(M112:N113)</f>
        <v>110.96</v>
      </c>
      <c r="D112" s="886">
        <v>45250</v>
      </c>
      <c r="E112" s="887" t="s">
        <v>391</v>
      </c>
      <c r="F112" s="144" t="s">
        <v>458</v>
      </c>
      <c r="G112" s="888" t="s">
        <v>437</v>
      </c>
      <c r="H112" s="889" t="s">
        <v>460</v>
      </c>
      <c r="I112" s="609">
        <v>53.69</v>
      </c>
      <c r="J112" s="610"/>
      <c r="K112" s="603"/>
      <c r="L112" s="603"/>
      <c r="M112" s="604">
        <f t="shared" si="16"/>
        <v>53.69</v>
      </c>
      <c r="N112" s="603"/>
      <c r="O112" s="91" t="s">
        <v>392</v>
      </c>
    </row>
    <row r="113" spans="2:15" s="60" customFormat="1" ht="15.75" customHeight="1">
      <c r="B113" s="884"/>
      <c r="C113" s="885"/>
      <c r="D113" s="886"/>
      <c r="E113" s="887"/>
      <c r="F113" s="144" t="s">
        <v>459</v>
      </c>
      <c r="G113" s="888"/>
      <c r="H113" s="889"/>
      <c r="I113" s="609">
        <v>57.27</v>
      </c>
      <c r="J113" s="610"/>
      <c r="K113" s="603"/>
      <c r="L113" s="603"/>
      <c r="M113" s="604">
        <f t="shared" si="16"/>
        <v>57.27</v>
      </c>
      <c r="N113" s="603"/>
      <c r="O113" s="91" t="s">
        <v>333</v>
      </c>
    </row>
    <row r="114" spans="2:15">
      <c r="B114" s="541">
        <f>B112+1</f>
        <v>86</v>
      </c>
      <c r="C114" s="622">
        <f t="shared" ref="C114:C115" si="29">SUM(M114:N114)</f>
        <v>107.36</v>
      </c>
      <c r="D114" s="542">
        <v>45250</v>
      </c>
      <c r="E114" s="699" t="s">
        <v>391</v>
      </c>
      <c r="F114" s="578" t="s">
        <v>443</v>
      </c>
      <c r="G114" s="543" t="s">
        <v>437</v>
      </c>
      <c r="H114" s="544" t="s">
        <v>441</v>
      </c>
      <c r="I114" s="605"/>
      <c r="J114" s="606">
        <v>102.25</v>
      </c>
      <c r="K114" s="605"/>
      <c r="L114" s="606"/>
      <c r="M114" s="607">
        <f t="shared" si="16"/>
        <v>102.25</v>
      </c>
      <c r="N114" s="628">
        <f>M114*5%</f>
        <v>5.1100000000000003</v>
      </c>
      <c r="O114" s="211" t="s">
        <v>338</v>
      </c>
    </row>
    <row r="115" spans="2:15">
      <c r="B115" s="540">
        <f>B114+1</f>
        <v>87</v>
      </c>
      <c r="C115" s="623">
        <f t="shared" si="29"/>
        <v>9.0299999999999994</v>
      </c>
      <c r="D115" s="538">
        <v>45250</v>
      </c>
      <c r="E115" s="33" t="s">
        <v>391</v>
      </c>
      <c r="F115" s="577" t="s">
        <v>442</v>
      </c>
      <c r="G115" s="539" t="s">
        <v>437</v>
      </c>
      <c r="H115" s="25" t="s">
        <v>441</v>
      </c>
      <c r="I115" s="611"/>
      <c r="J115" s="603">
        <v>8.6</v>
      </c>
      <c r="K115" s="612"/>
      <c r="L115" s="612"/>
      <c r="M115" s="604">
        <f t="shared" si="16"/>
        <v>8.6</v>
      </c>
      <c r="N115" s="604">
        <f>M115*5%</f>
        <v>0.43</v>
      </c>
      <c r="O115" s="91" t="s">
        <v>373</v>
      </c>
    </row>
    <row r="116" spans="2:15" s="60" customFormat="1" ht="15" customHeight="1">
      <c r="B116" s="541">
        <f>B115+1</f>
        <v>88</v>
      </c>
      <c r="C116" s="626">
        <f>SUM(M116:N116)</f>
        <v>658.62</v>
      </c>
      <c r="D116" s="542">
        <v>45260</v>
      </c>
      <c r="E116" s="546" t="s">
        <v>453</v>
      </c>
      <c r="F116" s="175" t="s">
        <v>454</v>
      </c>
      <c r="G116" s="543" t="s">
        <v>437</v>
      </c>
      <c r="H116" s="544" t="s">
        <v>455</v>
      </c>
      <c r="I116" s="606">
        <v>658.62</v>
      </c>
      <c r="J116" s="606"/>
      <c r="K116" s="606"/>
      <c r="L116" s="606"/>
      <c r="M116" s="607">
        <f t="shared" si="16"/>
        <v>658.62</v>
      </c>
      <c r="N116" s="628"/>
      <c r="O116" s="104" t="s">
        <v>333</v>
      </c>
    </row>
    <row r="117" spans="2:15" s="60" customFormat="1" ht="15.75" customHeight="1">
      <c r="B117" s="884">
        <f>B116+1</f>
        <v>89</v>
      </c>
      <c r="C117" s="885">
        <f>SUM(M117:N118)</f>
        <v>178.71</v>
      </c>
      <c r="D117" s="886">
        <v>45274</v>
      </c>
      <c r="E117" s="887" t="s">
        <v>391</v>
      </c>
      <c r="F117" s="144" t="s">
        <v>458</v>
      </c>
      <c r="G117" s="888" t="s">
        <v>437</v>
      </c>
      <c r="H117" s="889" t="s">
        <v>460</v>
      </c>
      <c r="I117" s="609">
        <v>86.47</v>
      </c>
      <c r="J117" s="610"/>
      <c r="K117" s="603"/>
      <c r="L117" s="603"/>
      <c r="M117" s="604">
        <f t="shared" ref="M117:M122" si="30">SUM(I117:L117)</f>
        <v>86.47</v>
      </c>
      <c r="N117" s="603"/>
      <c r="O117" s="91" t="s">
        <v>392</v>
      </c>
    </row>
    <row r="118" spans="2:15" s="60" customFormat="1" ht="15.75" customHeight="1">
      <c r="B118" s="884"/>
      <c r="C118" s="885"/>
      <c r="D118" s="886"/>
      <c r="E118" s="887"/>
      <c r="F118" s="144" t="s">
        <v>459</v>
      </c>
      <c r="G118" s="888"/>
      <c r="H118" s="889"/>
      <c r="I118" s="609">
        <v>92.24</v>
      </c>
      <c r="J118" s="610"/>
      <c r="K118" s="603"/>
      <c r="L118" s="603"/>
      <c r="M118" s="604">
        <f t="shared" si="30"/>
        <v>92.24</v>
      </c>
      <c r="N118" s="603"/>
      <c r="O118" s="91" t="s">
        <v>333</v>
      </c>
    </row>
    <row r="119" spans="2:15" s="60" customFormat="1" ht="15.75" customHeight="1">
      <c r="B119" s="878">
        <f>B117+1</f>
        <v>90</v>
      </c>
      <c r="C119" s="880">
        <f>SUM(+M119+N119+M121+N121+M122+N122+M120+N120)</f>
        <v>173.59</v>
      </c>
      <c r="D119" s="882">
        <v>45278</v>
      </c>
      <c r="E119" s="883" t="s">
        <v>391</v>
      </c>
      <c r="F119" s="581" t="s">
        <v>582</v>
      </c>
      <c r="G119" s="879" t="s">
        <v>437</v>
      </c>
      <c r="H119" s="881" t="s">
        <v>501</v>
      </c>
      <c r="I119" s="605">
        <v>73</v>
      </c>
      <c r="J119" s="695"/>
      <c r="K119" s="606"/>
      <c r="L119" s="606"/>
      <c r="M119" s="607">
        <f t="shared" si="30"/>
        <v>73</v>
      </c>
      <c r="N119" s="606">
        <f>M119*20%</f>
        <v>14.6</v>
      </c>
      <c r="O119" s="104" t="s">
        <v>335</v>
      </c>
    </row>
    <row r="120" spans="2:15" s="60" customFormat="1" ht="15.75" customHeight="1">
      <c r="B120" s="878"/>
      <c r="C120" s="880"/>
      <c r="D120" s="882"/>
      <c r="E120" s="883"/>
      <c r="F120" s="581" t="s">
        <v>583</v>
      </c>
      <c r="G120" s="879"/>
      <c r="H120" s="881"/>
      <c r="I120" s="605">
        <v>3</v>
      </c>
      <c r="J120" s="695"/>
      <c r="K120" s="606"/>
      <c r="L120" s="606"/>
      <c r="M120" s="607">
        <f t="shared" si="30"/>
        <v>3</v>
      </c>
      <c r="N120" s="606"/>
      <c r="O120" s="104" t="s">
        <v>352</v>
      </c>
    </row>
    <row r="121" spans="2:15" s="60" customFormat="1" ht="15.75" customHeight="1">
      <c r="B121" s="878"/>
      <c r="C121" s="880"/>
      <c r="D121" s="882"/>
      <c r="E121" s="883"/>
      <c r="F121" s="143" t="s">
        <v>605</v>
      </c>
      <c r="G121" s="879"/>
      <c r="H121" s="881"/>
      <c r="I121" s="605">
        <v>3</v>
      </c>
      <c r="J121" s="695"/>
      <c r="K121" s="606"/>
      <c r="L121" s="606"/>
      <c r="M121" s="607">
        <f t="shared" si="30"/>
        <v>3</v>
      </c>
      <c r="N121" s="606"/>
      <c r="O121" s="104" t="s">
        <v>440</v>
      </c>
    </row>
    <row r="122" spans="2:15" s="60" customFormat="1" ht="15.75" customHeight="1">
      <c r="B122" s="878"/>
      <c r="C122" s="880"/>
      <c r="D122" s="882"/>
      <c r="E122" s="883"/>
      <c r="F122" s="581" t="s">
        <v>584</v>
      </c>
      <c r="G122" s="879"/>
      <c r="H122" s="881"/>
      <c r="I122" s="605">
        <v>66.66</v>
      </c>
      <c r="J122" s="695"/>
      <c r="K122" s="606"/>
      <c r="L122" s="606"/>
      <c r="M122" s="607">
        <f t="shared" si="30"/>
        <v>66.66</v>
      </c>
      <c r="N122" s="606">
        <f>M122*20%</f>
        <v>13.33</v>
      </c>
      <c r="O122" s="104" t="s">
        <v>335</v>
      </c>
    </row>
    <row r="123" spans="2:15" s="60" customFormat="1">
      <c r="B123" s="540">
        <f>B119+1</f>
        <v>91</v>
      </c>
      <c r="C123" s="627">
        <f t="shared" ref="C123:C139" si="31">SUM(M123:N123)</f>
        <v>29.98</v>
      </c>
      <c r="D123" s="538">
        <v>45278</v>
      </c>
      <c r="E123" s="33" t="s">
        <v>461</v>
      </c>
      <c r="F123" s="582" t="s">
        <v>506</v>
      </c>
      <c r="G123" s="539" t="s">
        <v>437</v>
      </c>
      <c r="H123" s="644" t="s">
        <v>585</v>
      </c>
      <c r="I123" s="609"/>
      <c r="J123" s="609">
        <v>29.98</v>
      </c>
      <c r="K123" s="603"/>
      <c r="L123" s="603"/>
      <c r="M123" s="604">
        <f t="shared" ref="M123:M140" si="32">SUM(I123:L123)</f>
        <v>29.98</v>
      </c>
      <c r="N123" s="629"/>
      <c r="O123" s="91" t="s">
        <v>345</v>
      </c>
    </row>
    <row r="124" spans="2:15">
      <c r="B124" s="541">
        <f t="shared" ref="B124" si="33">B123+1</f>
        <v>92</v>
      </c>
      <c r="C124" s="624">
        <f>SUM(M124:N124)</f>
        <v>220</v>
      </c>
      <c r="D124" s="542">
        <v>45278</v>
      </c>
      <c r="E124" s="546" t="s">
        <v>461</v>
      </c>
      <c r="F124" s="581" t="s">
        <v>586</v>
      </c>
      <c r="G124" s="543" t="s">
        <v>437</v>
      </c>
      <c r="H124" s="544" t="s">
        <v>504</v>
      </c>
      <c r="I124" s="605"/>
      <c r="J124" s="695">
        <v>220</v>
      </c>
      <c r="K124" s="606"/>
      <c r="L124" s="606"/>
      <c r="M124" s="607">
        <f t="shared" si="32"/>
        <v>220</v>
      </c>
      <c r="N124" s="606"/>
      <c r="O124" s="104" t="s">
        <v>431</v>
      </c>
    </row>
    <row r="125" spans="2:15" s="60" customFormat="1" ht="15.75" customHeight="1">
      <c r="B125" s="139">
        <f>B124+1</f>
        <v>93</v>
      </c>
      <c r="C125" s="627">
        <f t="shared" si="31"/>
        <v>216</v>
      </c>
      <c r="D125" s="538">
        <v>45278</v>
      </c>
      <c r="E125" s="33" t="s">
        <v>461</v>
      </c>
      <c r="F125" s="789" t="s">
        <v>587</v>
      </c>
      <c r="G125" s="539" t="s">
        <v>437</v>
      </c>
      <c r="H125" s="25" t="s">
        <v>546</v>
      </c>
      <c r="I125" s="609"/>
      <c r="J125" s="609">
        <v>180</v>
      </c>
      <c r="K125" s="603"/>
      <c r="L125" s="603"/>
      <c r="M125" s="604">
        <f t="shared" si="32"/>
        <v>180</v>
      </c>
      <c r="N125" s="629">
        <f>M125*20%</f>
        <v>36</v>
      </c>
      <c r="O125" s="91" t="s">
        <v>345</v>
      </c>
    </row>
    <row r="126" spans="2:15">
      <c r="B126" s="209">
        <f t="shared" ref="B126:B127" si="34">B125+1</f>
        <v>94</v>
      </c>
      <c r="C126" s="626">
        <f t="shared" si="31"/>
        <v>936</v>
      </c>
      <c r="D126" s="542">
        <v>45278</v>
      </c>
      <c r="E126" s="546" t="s">
        <v>461</v>
      </c>
      <c r="F126" s="583" t="s">
        <v>588</v>
      </c>
      <c r="G126" s="543" t="s">
        <v>437</v>
      </c>
      <c r="H126" s="544" t="s">
        <v>589</v>
      </c>
      <c r="I126" s="606"/>
      <c r="J126" s="606">
        <v>780</v>
      </c>
      <c r="K126" s="606"/>
      <c r="L126" s="606"/>
      <c r="M126" s="607">
        <f t="shared" si="32"/>
        <v>780</v>
      </c>
      <c r="N126" s="628">
        <f>M126*20%</f>
        <v>156</v>
      </c>
      <c r="O126" s="104" t="s">
        <v>339</v>
      </c>
    </row>
    <row r="127" spans="2:15">
      <c r="B127" s="139">
        <f t="shared" si="34"/>
        <v>95</v>
      </c>
      <c r="C127" s="627">
        <f t="shared" ref="C127" si="35">SUM(M127:N127)</f>
        <v>354.95</v>
      </c>
      <c r="D127" s="538">
        <v>45278</v>
      </c>
      <c r="E127" s="33" t="s">
        <v>461</v>
      </c>
      <c r="F127" s="144" t="s">
        <v>454</v>
      </c>
      <c r="G127" s="539" t="s">
        <v>437</v>
      </c>
      <c r="H127" s="25" t="s">
        <v>455</v>
      </c>
      <c r="I127" s="603">
        <v>354.95</v>
      </c>
      <c r="J127" s="603"/>
      <c r="K127" s="603"/>
      <c r="L127" s="603"/>
      <c r="M127" s="604">
        <f t="shared" si="32"/>
        <v>354.95</v>
      </c>
      <c r="N127" s="629"/>
      <c r="O127" s="91" t="s">
        <v>333</v>
      </c>
    </row>
    <row r="128" spans="2:15" s="60" customFormat="1">
      <c r="B128" s="541">
        <f>B127+1</f>
        <v>96</v>
      </c>
      <c r="C128" s="626">
        <f t="shared" si="31"/>
        <v>18</v>
      </c>
      <c r="D128" s="542">
        <v>45291</v>
      </c>
      <c r="E128" s="699" t="s">
        <v>435</v>
      </c>
      <c r="F128" s="210" t="s">
        <v>575</v>
      </c>
      <c r="G128" s="543" t="s">
        <v>437</v>
      </c>
      <c r="H128" s="544" t="s">
        <v>457</v>
      </c>
      <c r="I128" s="605">
        <v>18</v>
      </c>
      <c r="J128" s="608"/>
      <c r="K128" s="605"/>
      <c r="L128" s="606"/>
      <c r="M128" s="607">
        <f t="shared" ref="M128" si="36">SUM(I128:L128)</f>
        <v>18</v>
      </c>
      <c r="N128" s="628"/>
      <c r="O128" s="211" t="s">
        <v>440</v>
      </c>
    </row>
    <row r="129" spans="2:15" s="60" customFormat="1">
      <c r="B129" s="139">
        <f>B128+1</f>
        <v>97</v>
      </c>
      <c r="C129" s="627">
        <f t="shared" si="31"/>
        <v>703.19</v>
      </c>
      <c r="D129" s="538">
        <v>45293</v>
      </c>
      <c r="E129" s="33" t="s">
        <v>453</v>
      </c>
      <c r="F129" s="180" t="s">
        <v>454</v>
      </c>
      <c r="G129" s="539" t="s">
        <v>437</v>
      </c>
      <c r="H129" s="25" t="s">
        <v>455</v>
      </c>
      <c r="I129" s="603">
        <v>703.19</v>
      </c>
      <c r="J129" s="619"/>
      <c r="K129" s="603"/>
      <c r="L129" s="603"/>
      <c r="M129" s="619">
        <f t="shared" si="32"/>
        <v>703.19</v>
      </c>
      <c r="N129" s="629"/>
      <c r="O129" s="91" t="s">
        <v>333</v>
      </c>
    </row>
    <row r="130" spans="2:15" s="60" customFormat="1" ht="15.75" customHeight="1">
      <c r="B130" s="878">
        <f>B129+1</f>
        <v>98</v>
      </c>
      <c r="C130" s="880">
        <f>SUM(M130:N131)</f>
        <v>118.46</v>
      </c>
      <c r="D130" s="882">
        <v>45300</v>
      </c>
      <c r="E130" s="883" t="s">
        <v>391</v>
      </c>
      <c r="F130" s="143" t="s">
        <v>458</v>
      </c>
      <c r="G130" s="879" t="s">
        <v>437</v>
      </c>
      <c r="H130" s="881" t="s">
        <v>460</v>
      </c>
      <c r="I130" s="605">
        <v>57.32</v>
      </c>
      <c r="J130" s="695"/>
      <c r="K130" s="606"/>
      <c r="L130" s="606"/>
      <c r="M130" s="607">
        <f t="shared" ref="M130:M131" si="37">SUM(I130:L130)</f>
        <v>57.32</v>
      </c>
      <c r="N130" s="606"/>
      <c r="O130" s="104" t="s">
        <v>392</v>
      </c>
    </row>
    <row r="131" spans="2:15" s="60" customFormat="1" ht="15.75" customHeight="1">
      <c r="B131" s="878"/>
      <c r="C131" s="880"/>
      <c r="D131" s="882"/>
      <c r="E131" s="883"/>
      <c r="F131" s="143" t="s">
        <v>459</v>
      </c>
      <c r="G131" s="879"/>
      <c r="H131" s="881"/>
      <c r="I131" s="605">
        <v>61.14</v>
      </c>
      <c r="J131" s="695"/>
      <c r="K131" s="606"/>
      <c r="L131" s="606"/>
      <c r="M131" s="607">
        <f t="shared" si="37"/>
        <v>61.14</v>
      </c>
      <c r="N131" s="606"/>
      <c r="O131" s="104" t="s">
        <v>333</v>
      </c>
    </row>
    <row r="132" spans="2:15" s="60" customFormat="1" ht="15.75" customHeight="1">
      <c r="B132" s="884">
        <f>B130+1</f>
        <v>99</v>
      </c>
      <c r="C132" s="885">
        <f>SUM(+M132+N132+M134+N134+M135+N135+M133+N133)</f>
        <v>54.84</v>
      </c>
      <c r="D132" s="886">
        <v>45307</v>
      </c>
      <c r="E132" s="887" t="s">
        <v>391</v>
      </c>
      <c r="F132" s="180" t="s">
        <v>619</v>
      </c>
      <c r="G132" s="888" t="s">
        <v>437</v>
      </c>
      <c r="H132" s="889" t="s">
        <v>501</v>
      </c>
      <c r="I132" s="609">
        <v>3</v>
      </c>
      <c r="J132" s="610"/>
      <c r="K132" s="603"/>
      <c r="L132" s="603"/>
      <c r="M132" s="604">
        <f t="shared" ref="M132:M135" si="38">SUM(I132:L132)</f>
        <v>3</v>
      </c>
      <c r="N132" s="603"/>
      <c r="O132" s="91" t="s">
        <v>440</v>
      </c>
    </row>
    <row r="133" spans="2:15">
      <c r="B133" s="884"/>
      <c r="C133" s="885"/>
      <c r="D133" s="886"/>
      <c r="E133" s="887"/>
      <c r="F133" s="577" t="s">
        <v>606</v>
      </c>
      <c r="G133" s="888"/>
      <c r="H133" s="889"/>
      <c r="I133" s="603">
        <f>23.74+10.79+7.46</f>
        <v>41.99</v>
      </c>
      <c r="J133" s="603"/>
      <c r="K133" s="603"/>
      <c r="L133" s="603"/>
      <c r="M133" s="604">
        <f t="shared" si="38"/>
        <v>41.99</v>
      </c>
      <c r="N133" s="604">
        <f>M133*20%</f>
        <v>8.4</v>
      </c>
      <c r="O133" s="91" t="s">
        <v>335</v>
      </c>
    </row>
    <row r="134" spans="2:15">
      <c r="B134" s="884"/>
      <c r="C134" s="885"/>
      <c r="D134" s="886"/>
      <c r="E134" s="887"/>
      <c r="F134" s="577" t="s">
        <v>607</v>
      </c>
      <c r="G134" s="888"/>
      <c r="H134" s="889"/>
      <c r="I134" s="603">
        <v>-10.79</v>
      </c>
      <c r="J134" s="603"/>
      <c r="K134" s="603"/>
      <c r="L134" s="603"/>
      <c r="M134" s="604">
        <f t="shared" si="38"/>
        <v>-10.79</v>
      </c>
      <c r="N134" s="604">
        <f>M134*20%</f>
        <v>-2.16</v>
      </c>
      <c r="O134" s="91" t="s">
        <v>335</v>
      </c>
    </row>
    <row r="135" spans="2:15">
      <c r="B135" s="884"/>
      <c r="C135" s="885"/>
      <c r="D135" s="886"/>
      <c r="E135" s="887"/>
      <c r="F135" s="577" t="s">
        <v>467</v>
      </c>
      <c r="G135" s="888"/>
      <c r="H135" s="889"/>
      <c r="I135" s="603"/>
      <c r="J135" s="603">
        <v>14.4</v>
      </c>
      <c r="K135" s="603"/>
      <c r="L135" s="603"/>
      <c r="M135" s="604">
        <f t="shared" si="38"/>
        <v>14.4</v>
      </c>
      <c r="N135" s="629"/>
      <c r="O135" s="91" t="s">
        <v>352</v>
      </c>
    </row>
    <row r="136" spans="2:15">
      <c r="B136" s="209">
        <f t="shared" ref="B136" si="39">B132+1</f>
        <v>100</v>
      </c>
      <c r="C136" s="626">
        <f t="shared" si="31"/>
        <v>76.61</v>
      </c>
      <c r="D136" s="542">
        <v>45309</v>
      </c>
      <c r="E136" s="546" t="s">
        <v>461</v>
      </c>
      <c r="F136" s="583" t="s">
        <v>608</v>
      </c>
      <c r="G136" s="543" t="s">
        <v>437</v>
      </c>
      <c r="H136" s="544" t="s">
        <v>609</v>
      </c>
      <c r="I136" s="605"/>
      <c r="J136" s="605">
        <f>7*9.12</f>
        <v>63.84</v>
      </c>
      <c r="K136" s="606"/>
      <c r="L136" s="606"/>
      <c r="M136" s="607">
        <f t="shared" ref="M136" si="40">SUM(I136:L136)</f>
        <v>63.84</v>
      </c>
      <c r="N136" s="628">
        <f>M136*20%</f>
        <v>12.77</v>
      </c>
      <c r="O136" s="104" t="s">
        <v>351</v>
      </c>
    </row>
    <row r="137" spans="2:15">
      <c r="B137" s="139">
        <f>B136+1</f>
        <v>101</v>
      </c>
      <c r="C137" s="627">
        <f t="shared" si="31"/>
        <v>42</v>
      </c>
      <c r="D137" s="538">
        <v>45309</v>
      </c>
      <c r="E137" s="537" t="s">
        <v>461</v>
      </c>
      <c r="F137" s="180" t="s">
        <v>610</v>
      </c>
      <c r="G137" s="539" t="s">
        <v>437</v>
      </c>
      <c r="H137" s="25" t="s">
        <v>611</v>
      </c>
      <c r="I137" s="616"/>
      <c r="J137" s="603">
        <v>42</v>
      </c>
      <c r="K137" s="603"/>
      <c r="L137" s="603"/>
      <c r="M137" s="604">
        <f t="shared" si="32"/>
        <v>42</v>
      </c>
      <c r="N137" s="629"/>
      <c r="O137" s="91" t="s">
        <v>638</v>
      </c>
    </row>
    <row r="138" spans="2:15" s="60" customFormat="1">
      <c r="B138" s="209">
        <f t="shared" ref="B138" si="41">B137+1</f>
        <v>102</v>
      </c>
      <c r="C138" s="626">
        <f t="shared" si="31"/>
        <v>660</v>
      </c>
      <c r="D138" s="542">
        <v>45309</v>
      </c>
      <c r="E138" s="546" t="s">
        <v>461</v>
      </c>
      <c r="F138" s="583" t="s">
        <v>612</v>
      </c>
      <c r="G138" s="543" t="s">
        <v>437</v>
      </c>
      <c r="H138" s="544" t="s">
        <v>504</v>
      </c>
      <c r="I138" s="606"/>
      <c r="J138" s="606">
        <v>660</v>
      </c>
      <c r="K138" s="606"/>
      <c r="L138" s="606"/>
      <c r="M138" s="607">
        <f t="shared" si="32"/>
        <v>660</v>
      </c>
      <c r="N138" s="628"/>
      <c r="O138" s="104" t="s">
        <v>351</v>
      </c>
    </row>
    <row r="139" spans="2:15" s="60" customFormat="1">
      <c r="B139" s="540">
        <f t="shared" ref="B139:B149" si="42">B138+1</f>
        <v>103</v>
      </c>
      <c r="C139" s="627">
        <f t="shared" si="31"/>
        <v>936</v>
      </c>
      <c r="D139" s="538">
        <v>45309</v>
      </c>
      <c r="E139" s="33" t="s">
        <v>461</v>
      </c>
      <c r="F139" s="582" t="s">
        <v>588</v>
      </c>
      <c r="G139" s="539" t="s">
        <v>437</v>
      </c>
      <c r="H139" s="25" t="s">
        <v>589</v>
      </c>
      <c r="I139" s="609"/>
      <c r="J139" s="609">
        <v>780</v>
      </c>
      <c r="K139" s="603"/>
      <c r="L139" s="603"/>
      <c r="M139" s="604">
        <f t="shared" si="32"/>
        <v>780</v>
      </c>
      <c r="N139" s="629">
        <f>M139*20%</f>
        <v>156</v>
      </c>
      <c r="O139" s="91" t="s">
        <v>351</v>
      </c>
    </row>
    <row r="140" spans="2:15">
      <c r="B140" s="209">
        <f t="shared" si="42"/>
        <v>104</v>
      </c>
      <c r="C140" s="626">
        <f t="shared" ref="C140" si="43">SUM(M140:N140)</f>
        <v>110.26</v>
      </c>
      <c r="D140" s="542">
        <v>45310</v>
      </c>
      <c r="E140" s="546" t="s">
        <v>391</v>
      </c>
      <c r="F140" s="581" t="s">
        <v>443</v>
      </c>
      <c r="G140" s="543" t="s">
        <v>437</v>
      </c>
      <c r="H140" s="544" t="s">
        <v>441</v>
      </c>
      <c r="I140" s="605"/>
      <c r="J140" s="605">
        <v>102.71</v>
      </c>
      <c r="K140" s="606"/>
      <c r="L140" s="606"/>
      <c r="M140" s="607">
        <f t="shared" si="32"/>
        <v>102.71</v>
      </c>
      <c r="N140" s="628">
        <v>7.55</v>
      </c>
      <c r="O140" s="104" t="s">
        <v>338</v>
      </c>
    </row>
    <row r="141" spans="2:15" s="60" customFormat="1">
      <c r="B141" s="540">
        <f t="shared" si="42"/>
        <v>105</v>
      </c>
      <c r="C141" s="627">
        <f t="shared" ref="C141" si="44">SUM(M141:N141)</f>
        <v>10</v>
      </c>
      <c r="D141" s="538">
        <v>45310</v>
      </c>
      <c r="E141" s="698" t="s">
        <v>391</v>
      </c>
      <c r="F141" s="692" t="s">
        <v>613</v>
      </c>
      <c r="G141" s="539" t="s">
        <v>437</v>
      </c>
      <c r="H141" s="25" t="s">
        <v>441</v>
      </c>
      <c r="I141" s="609"/>
      <c r="J141" s="609">
        <v>8.33</v>
      </c>
      <c r="K141" s="609"/>
      <c r="L141" s="603"/>
      <c r="M141" s="604">
        <f t="shared" ref="M141" si="45">SUM(I141:L141)</f>
        <v>8.33</v>
      </c>
      <c r="N141" s="629">
        <f>M141*20%</f>
        <v>1.67</v>
      </c>
      <c r="O141" s="404" t="s">
        <v>373</v>
      </c>
    </row>
    <row r="142" spans="2:15" s="60" customFormat="1">
      <c r="B142" s="209">
        <f t="shared" si="42"/>
        <v>106</v>
      </c>
      <c r="C142" s="626">
        <f t="shared" ref="C142" si="46">SUM(M142:N142)</f>
        <v>845.78</v>
      </c>
      <c r="D142" s="542">
        <v>45316</v>
      </c>
      <c r="E142" s="546" t="s">
        <v>391</v>
      </c>
      <c r="F142" s="143" t="s">
        <v>444</v>
      </c>
      <c r="G142" s="543" t="s">
        <v>437</v>
      </c>
      <c r="H142" s="544" t="s">
        <v>445</v>
      </c>
      <c r="I142" s="605">
        <v>845.78</v>
      </c>
      <c r="J142" s="605"/>
      <c r="K142" s="606"/>
      <c r="L142" s="606"/>
      <c r="M142" s="607">
        <f t="shared" ref="M142" si="47">SUM(I142:L142)</f>
        <v>845.78</v>
      </c>
      <c r="N142" s="628"/>
      <c r="O142" s="104" t="s">
        <v>333</v>
      </c>
    </row>
    <row r="143" spans="2:15" s="60" customFormat="1">
      <c r="B143" s="139">
        <f t="shared" si="42"/>
        <v>107</v>
      </c>
      <c r="C143" s="627">
        <f t="shared" ref="C143" si="48">SUM(M143:N143)</f>
        <v>703.19</v>
      </c>
      <c r="D143" s="538">
        <v>45322</v>
      </c>
      <c r="E143" s="33" t="s">
        <v>453</v>
      </c>
      <c r="F143" s="180" t="s">
        <v>454</v>
      </c>
      <c r="G143" s="539" t="s">
        <v>437</v>
      </c>
      <c r="H143" s="25" t="s">
        <v>455</v>
      </c>
      <c r="I143" s="609">
        <v>703.19</v>
      </c>
      <c r="J143" s="609"/>
      <c r="K143" s="603"/>
      <c r="L143" s="603"/>
      <c r="M143" s="604">
        <f t="shared" ref="M143" si="49">SUM(I143:L143)</f>
        <v>703.19</v>
      </c>
      <c r="N143" s="629"/>
      <c r="O143" s="91" t="s">
        <v>333</v>
      </c>
    </row>
    <row r="144" spans="2:15" s="60" customFormat="1" ht="15.75" customHeight="1">
      <c r="B144" s="878">
        <f>B143+1</f>
        <v>108</v>
      </c>
      <c r="C144" s="880">
        <f>SUM(M144:N145)</f>
        <v>118.46</v>
      </c>
      <c r="D144" s="882">
        <v>45331</v>
      </c>
      <c r="E144" s="883" t="s">
        <v>391</v>
      </c>
      <c r="F144" s="143" t="s">
        <v>458</v>
      </c>
      <c r="G144" s="879" t="s">
        <v>437</v>
      </c>
      <c r="H144" s="881" t="s">
        <v>460</v>
      </c>
      <c r="I144" s="605">
        <v>57.32</v>
      </c>
      <c r="J144" s="695"/>
      <c r="K144" s="606"/>
      <c r="L144" s="606"/>
      <c r="M144" s="607">
        <f t="shared" ref="M144:M145" si="50">SUM(I144:L144)</f>
        <v>57.32</v>
      </c>
      <c r="N144" s="606"/>
      <c r="O144" s="104" t="s">
        <v>392</v>
      </c>
    </row>
    <row r="145" spans="2:15" s="60" customFormat="1" ht="15.75" customHeight="1">
      <c r="B145" s="878"/>
      <c r="C145" s="880"/>
      <c r="D145" s="882"/>
      <c r="E145" s="883"/>
      <c r="F145" s="143" t="s">
        <v>459</v>
      </c>
      <c r="G145" s="879"/>
      <c r="H145" s="881"/>
      <c r="I145" s="605">
        <v>61.14</v>
      </c>
      <c r="J145" s="695"/>
      <c r="K145" s="606"/>
      <c r="L145" s="606"/>
      <c r="M145" s="607">
        <f t="shared" si="50"/>
        <v>61.14</v>
      </c>
      <c r="N145" s="606"/>
      <c r="O145" s="104" t="s">
        <v>333</v>
      </c>
    </row>
    <row r="146" spans="2:15" s="60" customFormat="1" ht="15.75" customHeight="1">
      <c r="B146" s="540">
        <f>B144+1</f>
        <v>109</v>
      </c>
      <c r="C146" s="627">
        <f t="shared" ref="C146" si="51">SUM(M146:N146)</f>
        <v>3</v>
      </c>
      <c r="D146" s="538">
        <v>45338</v>
      </c>
      <c r="E146" s="698" t="s">
        <v>391</v>
      </c>
      <c r="F146" s="180" t="s">
        <v>618</v>
      </c>
      <c r="G146" s="539" t="s">
        <v>437</v>
      </c>
      <c r="H146" s="25" t="s">
        <v>501</v>
      </c>
      <c r="I146" s="609">
        <v>3</v>
      </c>
      <c r="J146" s="610"/>
      <c r="K146" s="603"/>
      <c r="L146" s="603"/>
      <c r="M146" s="604">
        <f t="shared" ref="M146" si="52">SUM(I146:L146)</f>
        <v>3</v>
      </c>
      <c r="N146" s="603"/>
      <c r="O146" s="91" t="s">
        <v>440</v>
      </c>
    </row>
    <row r="147" spans="2:15" s="60" customFormat="1">
      <c r="B147" s="209">
        <f t="shared" si="42"/>
        <v>110</v>
      </c>
      <c r="C147" s="626">
        <f t="shared" ref="C147" si="53">SUM(M147:N147)</f>
        <v>41.24</v>
      </c>
      <c r="D147" s="542">
        <v>45342</v>
      </c>
      <c r="E147" s="546" t="s">
        <v>391</v>
      </c>
      <c r="F147" s="581" t="s">
        <v>443</v>
      </c>
      <c r="G147" s="543" t="s">
        <v>437</v>
      </c>
      <c r="H147" s="544" t="s">
        <v>441</v>
      </c>
      <c r="I147" s="605"/>
      <c r="J147" s="605">
        <f>(16.85+0.33)*2</f>
        <v>34.36</v>
      </c>
      <c r="K147" s="606"/>
      <c r="L147" s="606"/>
      <c r="M147" s="607">
        <f t="shared" ref="M147" si="54">SUM(I147:L147)</f>
        <v>34.36</v>
      </c>
      <c r="N147" s="628">
        <v>6.88</v>
      </c>
      <c r="O147" s="104" t="s">
        <v>338</v>
      </c>
    </row>
    <row r="148" spans="2:15" s="60" customFormat="1">
      <c r="B148" s="139">
        <f t="shared" si="42"/>
        <v>111</v>
      </c>
      <c r="C148" s="627">
        <f t="shared" ref="C148:C218" si="55">SUM(M148:N148)</f>
        <v>97.24</v>
      </c>
      <c r="D148" s="538">
        <v>45349</v>
      </c>
      <c r="E148" s="33" t="s">
        <v>391</v>
      </c>
      <c r="F148" s="582" t="s">
        <v>443</v>
      </c>
      <c r="G148" s="539" t="s">
        <v>437</v>
      </c>
      <c r="H148" s="25" t="s">
        <v>441</v>
      </c>
      <c r="I148" s="609"/>
      <c r="J148" s="609">
        <v>92.61</v>
      </c>
      <c r="K148" s="603"/>
      <c r="L148" s="603"/>
      <c r="M148" s="604">
        <f t="shared" ref="M148:M150" si="56">SUM(I148:L148)</f>
        <v>92.61</v>
      </c>
      <c r="N148" s="629">
        <v>4.63</v>
      </c>
      <c r="O148" s="91" t="s">
        <v>338</v>
      </c>
    </row>
    <row r="149" spans="2:15" s="60" customFormat="1">
      <c r="B149" s="209">
        <f t="shared" si="42"/>
        <v>112</v>
      </c>
      <c r="C149" s="626">
        <f>SUM(M149:N149)</f>
        <v>10.69</v>
      </c>
      <c r="D149" s="542">
        <v>45349</v>
      </c>
      <c r="E149" s="546" t="s">
        <v>391</v>
      </c>
      <c r="F149" s="581" t="s">
        <v>613</v>
      </c>
      <c r="G149" s="543" t="s">
        <v>437</v>
      </c>
      <c r="H149" s="544" t="s">
        <v>441</v>
      </c>
      <c r="I149" s="605"/>
      <c r="J149" s="605">
        <v>8.91</v>
      </c>
      <c r="K149" s="606"/>
      <c r="L149" s="606"/>
      <c r="M149" s="607">
        <f t="shared" si="56"/>
        <v>8.91</v>
      </c>
      <c r="N149" s="628">
        <v>1.78</v>
      </c>
      <c r="O149" s="104" t="s">
        <v>291</v>
      </c>
    </row>
    <row r="150" spans="2:15" s="60" customFormat="1">
      <c r="B150" s="139">
        <f t="shared" ref="B150:B163" si="57">B149+1</f>
        <v>113</v>
      </c>
      <c r="C150" s="627">
        <f t="shared" si="55"/>
        <v>703.19</v>
      </c>
      <c r="D150" s="538">
        <v>45351</v>
      </c>
      <c r="E150" s="33" t="s">
        <v>453</v>
      </c>
      <c r="F150" s="180" t="s">
        <v>454</v>
      </c>
      <c r="G150" s="539" t="s">
        <v>437</v>
      </c>
      <c r="H150" s="25" t="s">
        <v>455</v>
      </c>
      <c r="I150" s="609">
        <v>703.19</v>
      </c>
      <c r="J150" s="609"/>
      <c r="K150" s="603"/>
      <c r="L150" s="603"/>
      <c r="M150" s="604">
        <f t="shared" si="56"/>
        <v>703.19</v>
      </c>
      <c r="N150" s="629"/>
      <c r="O150" s="91" t="s">
        <v>333</v>
      </c>
    </row>
    <row r="151" spans="2:15" s="60" customFormat="1">
      <c r="B151" s="209">
        <f t="shared" si="57"/>
        <v>114</v>
      </c>
      <c r="C151" s="626">
        <f t="shared" si="55"/>
        <v>97.24</v>
      </c>
      <c r="D151" s="542">
        <v>45355</v>
      </c>
      <c r="E151" s="700" t="s">
        <v>391</v>
      </c>
      <c r="F151" s="583" t="s">
        <v>443</v>
      </c>
      <c r="G151" s="543" t="s">
        <v>437</v>
      </c>
      <c r="H151" s="544" t="s">
        <v>441</v>
      </c>
      <c r="I151" s="615"/>
      <c r="J151" s="606">
        <v>92.61</v>
      </c>
      <c r="K151" s="606"/>
      <c r="L151" s="606"/>
      <c r="M151" s="607">
        <f t="shared" ref="M151:M201" si="58">SUM(I151:L151)</f>
        <v>92.61</v>
      </c>
      <c r="N151" s="628">
        <v>4.63</v>
      </c>
      <c r="O151" s="104" t="s">
        <v>338</v>
      </c>
    </row>
    <row r="152" spans="2:15" s="60" customFormat="1">
      <c r="B152" s="139">
        <f t="shared" si="57"/>
        <v>115</v>
      </c>
      <c r="C152" s="627">
        <f t="shared" si="55"/>
        <v>10.69</v>
      </c>
      <c r="D152" s="538">
        <v>45355</v>
      </c>
      <c r="E152" s="537" t="s">
        <v>391</v>
      </c>
      <c r="F152" s="577" t="s">
        <v>613</v>
      </c>
      <c r="G152" s="539" t="s">
        <v>437</v>
      </c>
      <c r="H152" s="25" t="s">
        <v>441</v>
      </c>
      <c r="I152" s="616"/>
      <c r="J152" s="603">
        <v>8.91</v>
      </c>
      <c r="K152" s="603"/>
      <c r="L152" s="603"/>
      <c r="M152" s="604">
        <f t="shared" si="58"/>
        <v>8.91</v>
      </c>
      <c r="N152" s="629">
        <v>1.78</v>
      </c>
      <c r="O152" s="91" t="s">
        <v>291</v>
      </c>
    </row>
    <row r="153" spans="2:15" s="60" customFormat="1">
      <c r="B153" s="209">
        <f t="shared" si="57"/>
        <v>116</v>
      </c>
      <c r="C153" s="626">
        <f t="shared" si="55"/>
        <v>56.27</v>
      </c>
      <c r="D153" s="542">
        <v>45355</v>
      </c>
      <c r="E153" s="700" t="s">
        <v>461</v>
      </c>
      <c r="F153" s="175" t="s">
        <v>625</v>
      </c>
      <c r="G153" s="543" t="s">
        <v>437</v>
      </c>
      <c r="H153" s="544" t="s">
        <v>464</v>
      </c>
      <c r="I153" s="615"/>
      <c r="J153" s="606">
        <v>56.27</v>
      </c>
      <c r="K153" s="606"/>
      <c r="L153" s="606"/>
      <c r="M153" s="607">
        <f t="shared" si="58"/>
        <v>56.27</v>
      </c>
      <c r="N153" s="628"/>
      <c r="O153" s="104" t="s">
        <v>352</v>
      </c>
    </row>
    <row r="154" spans="2:15" s="60" customFormat="1" ht="15.75" customHeight="1">
      <c r="B154" s="884">
        <f>B153+1</f>
        <v>117</v>
      </c>
      <c r="C154" s="885">
        <f>SUM(M154:N155)</f>
        <v>118.46</v>
      </c>
      <c r="D154" s="886">
        <v>45359</v>
      </c>
      <c r="E154" s="887" t="s">
        <v>391</v>
      </c>
      <c r="F154" s="144" t="s">
        <v>458</v>
      </c>
      <c r="G154" s="888" t="s">
        <v>437</v>
      </c>
      <c r="H154" s="889" t="s">
        <v>460</v>
      </c>
      <c r="I154" s="609">
        <v>57.32</v>
      </c>
      <c r="J154" s="610"/>
      <c r="K154" s="603"/>
      <c r="L154" s="603"/>
      <c r="M154" s="604">
        <f t="shared" ref="M154:M155" si="59">SUM(I154:L154)</f>
        <v>57.32</v>
      </c>
      <c r="N154" s="603"/>
      <c r="O154" s="91" t="s">
        <v>392</v>
      </c>
    </row>
    <row r="155" spans="2:15" s="60" customFormat="1" ht="15.75" customHeight="1">
      <c r="B155" s="884"/>
      <c r="C155" s="885"/>
      <c r="D155" s="886"/>
      <c r="E155" s="887"/>
      <c r="F155" s="144" t="s">
        <v>459</v>
      </c>
      <c r="G155" s="888"/>
      <c r="H155" s="889"/>
      <c r="I155" s="609">
        <v>61.14</v>
      </c>
      <c r="J155" s="610"/>
      <c r="K155" s="603"/>
      <c r="L155" s="603"/>
      <c r="M155" s="604">
        <f t="shared" si="59"/>
        <v>61.14</v>
      </c>
      <c r="N155" s="603"/>
      <c r="O155" s="91" t="s">
        <v>333</v>
      </c>
    </row>
    <row r="156" spans="2:15" s="60" customFormat="1">
      <c r="B156" s="878">
        <f>B154+1</f>
        <v>118</v>
      </c>
      <c r="C156" s="880">
        <f>SUM(M156:N157)</f>
        <v>111</v>
      </c>
      <c r="D156" s="882">
        <v>45369</v>
      </c>
      <c r="E156" s="883" t="s">
        <v>391</v>
      </c>
      <c r="F156" s="583" t="s">
        <v>626</v>
      </c>
      <c r="G156" s="879" t="s">
        <v>437</v>
      </c>
      <c r="H156" s="881" t="s">
        <v>501</v>
      </c>
      <c r="I156" s="615"/>
      <c r="J156" s="606">
        <v>90</v>
      </c>
      <c r="K156" s="606"/>
      <c r="L156" s="606"/>
      <c r="M156" s="607">
        <f t="shared" si="58"/>
        <v>90</v>
      </c>
      <c r="N156" s="628">
        <f>M156*20%</f>
        <v>18</v>
      </c>
      <c r="O156" s="104" t="s">
        <v>352</v>
      </c>
    </row>
    <row r="157" spans="2:15" s="60" customFormat="1">
      <c r="B157" s="878"/>
      <c r="C157" s="880"/>
      <c r="D157" s="882"/>
      <c r="E157" s="883"/>
      <c r="F157" s="583" t="s">
        <v>627</v>
      </c>
      <c r="G157" s="879"/>
      <c r="H157" s="881"/>
      <c r="I157" s="615">
        <v>3</v>
      </c>
      <c r="J157" s="606"/>
      <c r="K157" s="606"/>
      <c r="L157" s="606"/>
      <c r="M157" s="607">
        <f t="shared" ref="M157" si="60">SUM(I157:L157)</f>
        <v>3</v>
      </c>
      <c r="N157" s="628"/>
      <c r="O157" s="104" t="s">
        <v>440</v>
      </c>
    </row>
    <row r="158" spans="2:15" s="60" customFormat="1">
      <c r="B158" s="540">
        <f>B156+1</f>
        <v>119</v>
      </c>
      <c r="C158" s="627">
        <f t="shared" si="55"/>
        <v>500</v>
      </c>
      <c r="D158" s="538">
        <v>45373</v>
      </c>
      <c r="E158" s="537" t="s">
        <v>461</v>
      </c>
      <c r="F158" s="180" t="s">
        <v>628</v>
      </c>
      <c r="G158" s="539" t="s">
        <v>437</v>
      </c>
      <c r="H158" s="25" t="s">
        <v>629</v>
      </c>
      <c r="I158" s="616"/>
      <c r="J158" s="603">
        <v>500</v>
      </c>
      <c r="K158" s="603"/>
      <c r="L158" s="603"/>
      <c r="M158" s="604">
        <f t="shared" si="58"/>
        <v>500</v>
      </c>
      <c r="N158" s="629"/>
      <c r="O158" s="91" t="s">
        <v>639</v>
      </c>
    </row>
    <row r="159" spans="2:15" s="60" customFormat="1">
      <c r="B159" s="209">
        <f>B158+1</f>
        <v>120</v>
      </c>
      <c r="C159" s="626">
        <f t="shared" si="55"/>
        <v>256</v>
      </c>
      <c r="D159" s="542">
        <v>45373</v>
      </c>
      <c r="E159" s="700" t="s">
        <v>461</v>
      </c>
      <c r="F159" s="583" t="s">
        <v>630</v>
      </c>
      <c r="G159" s="543" t="s">
        <v>437</v>
      </c>
      <c r="H159" s="544" t="s">
        <v>463</v>
      </c>
      <c r="I159" s="605">
        <v>256</v>
      </c>
      <c r="J159" s="606"/>
      <c r="K159" s="606"/>
      <c r="L159" s="606"/>
      <c r="M159" s="607">
        <f t="shared" si="58"/>
        <v>256</v>
      </c>
      <c r="N159" s="628"/>
      <c r="O159" s="104" t="s">
        <v>343</v>
      </c>
    </row>
    <row r="160" spans="2:15" s="60" customFormat="1">
      <c r="B160" s="139">
        <f>B159+1</f>
        <v>121</v>
      </c>
      <c r="C160" s="627">
        <f t="shared" ref="C160" si="61">SUM(M160:N160)</f>
        <v>4200</v>
      </c>
      <c r="D160" s="538">
        <v>45373</v>
      </c>
      <c r="E160" s="33" t="s">
        <v>461</v>
      </c>
      <c r="F160" s="582" t="s">
        <v>555</v>
      </c>
      <c r="G160" s="539" t="s">
        <v>437</v>
      </c>
      <c r="H160" s="25" t="s">
        <v>556</v>
      </c>
      <c r="I160" s="609">
        <v>3500</v>
      </c>
      <c r="J160" s="609"/>
      <c r="K160" s="603"/>
      <c r="L160" s="603"/>
      <c r="M160" s="604">
        <f t="shared" si="58"/>
        <v>3500</v>
      </c>
      <c r="N160" s="629">
        <f>M160*20%</f>
        <v>700</v>
      </c>
      <c r="O160" s="91" t="s">
        <v>353</v>
      </c>
    </row>
    <row r="161" spans="2:15" s="60" customFormat="1">
      <c r="B161" s="209">
        <f>B160+1</f>
        <v>122</v>
      </c>
      <c r="C161" s="626">
        <f t="shared" ref="C161" si="62">SUM(M161:N161)</f>
        <v>22.86</v>
      </c>
      <c r="D161" s="542">
        <v>45373</v>
      </c>
      <c r="E161" s="546" t="s">
        <v>461</v>
      </c>
      <c r="F161" s="583" t="s">
        <v>506</v>
      </c>
      <c r="G161" s="543" t="s">
        <v>437</v>
      </c>
      <c r="H161" s="544" t="s">
        <v>507</v>
      </c>
      <c r="I161" s="605"/>
      <c r="J161" s="605">
        <v>22.86</v>
      </c>
      <c r="K161" s="606"/>
      <c r="L161" s="606"/>
      <c r="M161" s="607">
        <f t="shared" ref="M161" si="63">SUM(I161:L161)</f>
        <v>22.86</v>
      </c>
      <c r="N161" s="628"/>
      <c r="O161" s="104" t="s">
        <v>345</v>
      </c>
    </row>
    <row r="162" spans="2:15" s="60" customFormat="1">
      <c r="B162" s="139">
        <f>B161+1</f>
        <v>123</v>
      </c>
      <c r="C162" s="627">
        <f t="shared" si="55"/>
        <v>17.5</v>
      </c>
      <c r="D162" s="538">
        <v>45373</v>
      </c>
      <c r="E162" s="33" t="s">
        <v>461</v>
      </c>
      <c r="F162" s="582" t="s">
        <v>511</v>
      </c>
      <c r="G162" s="539" t="s">
        <v>437</v>
      </c>
      <c r="H162" s="25" t="s">
        <v>634</v>
      </c>
      <c r="I162" s="609">
        <v>17.5</v>
      </c>
      <c r="J162" s="609"/>
      <c r="K162" s="603"/>
      <c r="L162" s="603"/>
      <c r="M162" s="604">
        <f t="shared" si="58"/>
        <v>17.5</v>
      </c>
      <c r="N162" s="629"/>
      <c r="O162" s="91" t="s">
        <v>352</v>
      </c>
    </row>
    <row r="163" spans="2:15" s="60" customFormat="1">
      <c r="B163" s="209">
        <f t="shared" si="57"/>
        <v>124</v>
      </c>
      <c r="C163" s="626">
        <f t="shared" si="55"/>
        <v>255</v>
      </c>
      <c r="D163" s="542">
        <v>45373</v>
      </c>
      <c r="E163" s="700" t="s">
        <v>461</v>
      </c>
      <c r="F163" s="583" t="s">
        <v>631</v>
      </c>
      <c r="G163" s="543" t="s">
        <v>437</v>
      </c>
      <c r="H163" s="544" t="s">
        <v>455</v>
      </c>
      <c r="I163" s="615">
        <v>255</v>
      </c>
      <c r="J163" s="606"/>
      <c r="K163" s="606"/>
      <c r="L163" s="606"/>
      <c r="M163" s="607">
        <f t="shared" si="58"/>
        <v>255</v>
      </c>
      <c r="N163" s="628"/>
      <c r="O163" s="104" t="s">
        <v>335</v>
      </c>
    </row>
    <row r="164" spans="2:15" s="60" customFormat="1">
      <c r="B164" s="139">
        <f>B163+1</f>
        <v>125</v>
      </c>
      <c r="C164" s="627">
        <f t="shared" si="55"/>
        <v>288</v>
      </c>
      <c r="D164" s="538">
        <v>45373</v>
      </c>
      <c r="E164" s="537" t="s">
        <v>461</v>
      </c>
      <c r="F164" s="577" t="s">
        <v>632</v>
      </c>
      <c r="G164" s="539" t="s">
        <v>437</v>
      </c>
      <c r="H164" s="25" t="s">
        <v>633</v>
      </c>
      <c r="I164" s="616">
        <v>288</v>
      </c>
      <c r="J164" s="603"/>
      <c r="K164" s="603"/>
      <c r="L164" s="603"/>
      <c r="M164" s="604">
        <f t="shared" si="58"/>
        <v>288</v>
      </c>
      <c r="N164" s="629"/>
      <c r="O164" s="91" t="s">
        <v>339</v>
      </c>
    </row>
    <row r="165" spans="2:15" s="60" customFormat="1">
      <c r="B165" s="209">
        <f>B164+1</f>
        <v>126</v>
      </c>
      <c r="C165" s="626">
        <f t="shared" ref="C165" si="64">SUM(M165:N165)</f>
        <v>0.5</v>
      </c>
      <c r="D165" s="542">
        <v>45382</v>
      </c>
      <c r="E165" s="700" t="s">
        <v>435</v>
      </c>
      <c r="F165" s="175" t="s">
        <v>635</v>
      </c>
      <c r="G165" s="543" t="s">
        <v>437</v>
      </c>
      <c r="H165" s="544" t="s">
        <v>457</v>
      </c>
      <c r="I165" s="615">
        <v>0.5</v>
      </c>
      <c r="J165" s="606"/>
      <c r="K165" s="606"/>
      <c r="L165" s="606"/>
      <c r="M165" s="607">
        <f t="shared" si="58"/>
        <v>0.5</v>
      </c>
      <c r="N165" s="628"/>
      <c r="O165" s="104" t="s">
        <v>440</v>
      </c>
    </row>
    <row r="166" spans="2:15" s="60" customFormat="1">
      <c r="B166" s="139">
        <f>B165+1</f>
        <v>127</v>
      </c>
      <c r="C166" s="627">
        <f t="shared" si="55"/>
        <v>18</v>
      </c>
      <c r="D166" s="538">
        <v>45382</v>
      </c>
      <c r="E166" s="537" t="s">
        <v>435</v>
      </c>
      <c r="F166" s="180" t="s">
        <v>561</v>
      </c>
      <c r="G166" s="539" t="s">
        <v>437</v>
      </c>
      <c r="H166" s="25" t="s">
        <v>457</v>
      </c>
      <c r="I166" s="616">
        <v>18</v>
      </c>
      <c r="J166" s="603"/>
      <c r="K166" s="603"/>
      <c r="L166" s="603"/>
      <c r="M166" s="604">
        <v>18</v>
      </c>
      <c r="N166" s="629"/>
      <c r="O166" s="91" t="s">
        <v>440</v>
      </c>
    </row>
    <row r="167" spans="2:15" s="60" customFormat="1" hidden="1">
      <c r="B167" s="884" t="e">
        <f>#REF!+1</f>
        <v>#REF!</v>
      </c>
      <c r="C167" s="885">
        <f>M167+M168+N167+N168</f>
        <v>0</v>
      </c>
      <c r="D167" s="886"/>
      <c r="E167" s="896"/>
      <c r="F167" s="403"/>
      <c r="G167" s="888"/>
      <c r="H167" s="889"/>
      <c r="I167" s="609"/>
      <c r="J167" s="614"/>
      <c r="K167" s="609"/>
      <c r="L167" s="603"/>
      <c r="M167" s="604">
        <f t="shared" ref="M167:M168" si="65">SUM(I167:L167)</f>
        <v>0</v>
      </c>
      <c r="N167" s="629"/>
      <c r="O167" s="404"/>
    </row>
    <row r="168" spans="2:15" s="60" customFormat="1" hidden="1">
      <c r="B168" s="884"/>
      <c r="C168" s="885"/>
      <c r="D168" s="886"/>
      <c r="E168" s="896"/>
      <c r="F168" s="405"/>
      <c r="G168" s="888"/>
      <c r="H168" s="889"/>
      <c r="I168" s="609"/>
      <c r="J168" s="614"/>
      <c r="K168" s="609"/>
      <c r="L168" s="603"/>
      <c r="M168" s="604">
        <f t="shared" si="65"/>
        <v>0</v>
      </c>
      <c r="N168" s="629"/>
      <c r="O168" s="404"/>
    </row>
    <row r="169" spans="2:15" s="60" customFormat="1" hidden="1">
      <c r="B169" s="209" t="e">
        <f>B167+1</f>
        <v>#REF!</v>
      </c>
      <c r="C169" s="626">
        <f t="shared" si="55"/>
        <v>0</v>
      </c>
      <c r="D169" s="542"/>
      <c r="E169" s="700"/>
      <c r="F169" s="175"/>
      <c r="G169" s="543"/>
      <c r="H169" s="544"/>
      <c r="I169" s="605"/>
      <c r="J169" s="606"/>
      <c r="K169" s="606"/>
      <c r="L169" s="606"/>
      <c r="M169" s="607">
        <f t="shared" ref="M169" si="66">SUM(I169:L169)</f>
        <v>0</v>
      </c>
      <c r="N169" s="628"/>
      <c r="O169" s="104"/>
    </row>
    <row r="170" spans="2:15" s="60" customFormat="1" hidden="1">
      <c r="B170" s="884" t="e">
        <f>B169+1</f>
        <v>#REF!</v>
      </c>
      <c r="C170" s="885">
        <f>M170+M171+N170+N171</f>
        <v>0</v>
      </c>
      <c r="D170" s="886"/>
      <c r="E170" s="896"/>
      <c r="F170" s="403"/>
      <c r="G170" s="888"/>
      <c r="H170" s="889"/>
      <c r="I170" s="609"/>
      <c r="J170" s="614"/>
      <c r="K170" s="609"/>
      <c r="L170" s="603"/>
      <c r="M170" s="604">
        <f t="shared" ref="M170:M171" si="67">SUM(I170:L170)</f>
        <v>0</v>
      </c>
      <c r="N170" s="629"/>
      <c r="O170" s="404"/>
    </row>
    <row r="171" spans="2:15" s="60" customFormat="1" hidden="1">
      <c r="B171" s="884"/>
      <c r="C171" s="885"/>
      <c r="D171" s="886"/>
      <c r="E171" s="896"/>
      <c r="F171" s="405"/>
      <c r="G171" s="888"/>
      <c r="H171" s="889"/>
      <c r="I171" s="609"/>
      <c r="J171" s="614"/>
      <c r="K171" s="609"/>
      <c r="L171" s="603"/>
      <c r="M171" s="604">
        <f t="shared" si="67"/>
        <v>0</v>
      </c>
      <c r="N171" s="629"/>
      <c r="O171" s="404"/>
    </row>
    <row r="172" spans="2:15" s="60" customFormat="1" hidden="1">
      <c r="B172" s="209" t="e">
        <f>B170+1</f>
        <v>#REF!</v>
      </c>
      <c r="C172" s="626">
        <f t="shared" ref="C172" si="68">SUM(M172:N172)</f>
        <v>0</v>
      </c>
      <c r="D172" s="542"/>
      <c r="E172" s="700"/>
      <c r="F172" s="175"/>
      <c r="G172" s="543"/>
      <c r="H172" s="544"/>
      <c r="I172" s="615"/>
      <c r="J172" s="606"/>
      <c r="K172" s="606"/>
      <c r="L172" s="606"/>
      <c r="M172" s="607">
        <f t="shared" ref="M172" si="69">SUM(I172:L172)</f>
        <v>0</v>
      </c>
      <c r="N172" s="628"/>
      <c r="O172" s="104"/>
    </row>
    <row r="173" spans="2:15" s="60" customFormat="1" hidden="1">
      <c r="B173" s="139" t="e">
        <f>B172+1</f>
        <v>#REF!</v>
      </c>
      <c r="C173" s="627">
        <f>SUM(M173:N173)</f>
        <v>0</v>
      </c>
      <c r="D173" s="538"/>
      <c r="E173" s="33"/>
      <c r="F173" s="582"/>
      <c r="G173" s="539"/>
      <c r="H173" s="25"/>
      <c r="I173" s="609"/>
      <c r="J173" s="609"/>
      <c r="K173" s="603"/>
      <c r="L173" s="603"/>
      <c r="M173" s="604">
        <f t="shared" ref="M173" si="70">SUM(I173:L173)</f>
        <v>0</v>
      </c>
      <c r="N173" s="629"/>
      <c r="O173" s="91"/>
    </row>
    <row r="174" spans="2:15" s="60" customFormat="1" hidden="1">
      <c r="B174" s="209" t="e">
        <f>B173+1</f>
        <v>#REF!</v>
      </c>
      <c r="C174" s="626">
        <f t="shared" si="55"/>
        <v>0</v>
      </c>
      <c r="D174" s="542"/>
      <c r="E174" s="700"/>
      <c r="F174" s="583"/>
      <c r="G174" s="543"/>
      <c r="H174" s="544"/>
      <c r="I174" s="615"/>
      <c r="J174" s="606"/>
      <c r="K174" s="606"/>
      <c r="L174" s="606"/>
      <c r="M174" s="607">
        <f t="shared" si="58"/>
        <v>0</v>
      </c>
      <c r="N174" s="628"/>
      <c r="O174" s="104"/>
    </row>
    <row r="175" spans="2:15" s="60" customFormat="1" hidden="1">
      <c r="B175" s="139" t="e">
        <f t="shared" ref="B175:B218" si="71">B174+1</f>
        <v>#REF!</v>
      </c>
      <c r="C175" s="627">
        <f t="shared" si="55"/>
        <v>0</v>
      </c>
      <c r="D175" s="538"/>
      <c r="E175" s="537"/>
      <c r="F175" s="577"/>
      <c r="G175" s="539"/>
      <c r="H175" s="25"/>
      <c r="I175" s="616"/>
      <c r="J175" s="603"/>
      <c r="K175" s="603"/>
      <c r="L175" s="603"/>
      <c r="M175" s="604">
        <f t="shared" si="58"/>
        <v>0</v>
      </c>
      <c r="N175" s="629"/>
      <c r="O175" s="91"/>
    </row>
    <row r="176" spans="2:15" s="60" customFormat="1" hidden="1">
      <c r="B176" s="209" t="e">
        <f t="shared" si="71"/>
        <v>#REF!</v>
      </c>
      <c r="C176" s="626">
        <f t="shared" si="55"/>
        <v>0</v>
      </c>
      <c r="D176" s="542"/>
      <c r="E176" s="700"/>
      <c r="F176" s="175"/>
      <c r="G176" s="543"/>
      <c r="H176" s="544"/>
      <c r="I176" s="615"/>
      <c r="J176" s="606"/>
      <c r="K176" s="606"/>
      <c r="L176" s="606"/>
      <c r="M176" s="607">
        <f t="shared" si="58"/>
        <v>0</v>
      </c>
      <c r="N176" s="628"/>
      <c r="O176" s="104"/>
    </row>
    <row r="177" spans="2:15" s="60" customFormat="1" hidden="1">
      <c r="B177" s="139" t="e">
        <f t="shared" si="71"/>
        <v>#REF!</v>
      </c>
      <c r="C177" s="627">
        <f t="shared" si="55"/>
        <v>0</v>
      </c>
      <c r="D177" s="538"/>
      <c r="E177" s="537"/>
      <c r="F177" s="577"/>
      <c r="G177" s="539"/>
      <c r="H177" s="25"/>
      <c r="I177" s="616"/>
      <c r="J177" s="603"/>
      <c r="K177" s="603"/>
      <c r="L177" s="603"/>
      <c r="M177" s="604">
        <f t="shared" si="58"/>
        <v>0</v>
      </c>
      <c r="N177" s="629"/>
      <c r="O177" s="91"/>
    </row>
    <row r="178" spans="2:15" s="60" customFormat="1" hidden="1">
      <c r="B178" s="209" t="e">
        <f t="shared" si="71"/>
        <v>#REF!</v>
      </c>
      <c r="C178" s="626">
        <f t="shared" si="55"/>
        <v>0</v>
      </c>
      <c r="D178" s="542"/>
      <c r="E178" s="700"/>
      <c r="F178" s="583"/>
      <c r="G178" s="543"/>
      <c r="H178" s="544"/>
      <c r="I178" s="615"/>
      <c r="J178" s="606"/>
      <c r="K178" s="606"/>
      <c r="L178" s="606"/>
      <c r="M178" s="607">
        <f t="shared" si="58"/>
        <v>0</v>
      </c>
      <c r="N178" s="628"/>
      <c r="O178" s="104"/>
    </row>
    <row r="179" spans="2:15" s="60" customFormat="1" hidden="1">
      <c r="B179" s="139" t="e">
        <f t="shared" si="71"/>
        <v>#REF!</v>
      </c>
      <c r="C179" s="627">
        <f t="shared" si="55"/>
        <v>0</v>
      </c>
      <c r="D179" s="538"/>
      <c r="E179" s="537"/>
      <c r="F179" s="577"/>
      <c r="G179" s="539"/>
      <c r="H179" s="25"/>
      <c r="I179" s="616"/>
      <c r="J179" s="603"/>
      <c r="K179" s="603"/>
      <c r="L179" s="603"/>
      <c r="M179" s="604">
        <f t="shared" si="58"/>
        <v>0</v>
      </c>
      <c r="N179" s="629"/>
      <c r="O179" s="91"/>
    </row>
    <row r="180" spans="2:15" s="60" customFormat="1" hidden="1">
      <c r="B180" s="209" t="e">
        <f>B179+1</f>
        <v>#REF!</v>
      </c>
      <c r="C180" s="626">
        <f>SUM(M180:N180)</f>
        <v>0</v>
      </c>
      <c r="D180" s="542"/>
      <c r="E180" s="700"/>
      <c r="F180" s="583"/>
      <c r="G180" s="543"/>
      <c r="H180" s="544"/>
      <c r="I180" s="615"/>
      <c r="J180" s="606"/>
      <c r="K180" s="606"/>
      <c r="L180" s="606"/>
      <c r="M180" s="607">
        <f>SUM(I180:L180)</f>
        <v>0</v>
      </c>
      <c r="N180" s="628"/>
      <c r="O180" s="104"/>
    </row>
    <row r="181" spans="2:15" hidden="1">
      <c r="B181" s="139" t="e">
        <f>B180+1</f>
        <v>#REF!</v>
      </c>
      <c r="C181" s="627">
        <f>SUM(M181:N181)</f>
        <v>0</v>
      </c>
      <c r="D181" s="538"/>
      <c r="E181" s="537"/>
      <c r="F181" s="577"/>
      <c r="G181" s="539"/>
      <c r="H181" s="25"/>
      <c r="I181" s="616"/>
      <c r="J181" s="603"/>
      <c r="K181" s="603"/>
      <c r="L181" s="603"/>
      <c r="M181" s="604">
        <f t="shared" ref="M181" si="72">SUM(I181:L181)</f>
        <v>0</v>
      </c>
      <c r="N181" s="629"/>
      <c r="O181" s="91"/>
    </row>
    <row r="182" spans="2:15" s="60" customFormat="1" hidden="1">
      <c r="B182" s="209" t="e">
        <f>B181+1</f>
        <v>#REF!</v>
      </c>
      <c r="C182" s="626">
        <f t="shared" si="55"/>
        <v>0</v>
      </c>
      <c r="D182" s="542"/>
      <c r="E182" s="700"/>
      <c r="F182" s="175"/>
      <c r="G182" s="543"/>
      <c r="H182" s="544"/>
      <c r="I182" s="615"/>
      <c r="J182" s="606"/>
      <c r="K182" s="606"/>
      <c r="L182" s="606"/>
      <c r="M182" s="607">
        <f t="shared" si="58"/>
        <v>0</v>
      </c>
      <c r="N182" s="628"/>
      <c r="O182" s="104"/>
    </row>
    <row r="183" spans="2:15" s="60" customFormat="1" hidden="1">
      <c r="B183" s="139" t="e">
        <f>B182+1</f>
        <v>#REF!</v>
      </c>
      <c r="C183" s="627">
        <f t="shared" si="55"/>
        <v>0</v>
      </c>
      <c r="D183" s="538"/>
      <c r="E183" s="537"/>
      <c r="F183" s="180"/>
      <c r="G183" s="539"/>
      <c r="H183" s="25"/>
      <c r="I183" s="616"/>
      <c r="J183" s="603"/>
      <c r="K183" s="603"/>
      <c r="L183" s="603"/>
      <c r="M183" s="604">
        <f t="shared" si="58"/>
        <v>0</v>
      </c>
      <c r="N183" s="629"/>
      <c r="O183" s="91"/>
    </row>
    <row r="184" spans="2:15" s="60" customFormat="1" hidden="1">
      <c r="B184" s="878" t="e">
        <f>B183+1</f>
        <v>#REF!</v>
      </c>
      <c r="C184" s="880">
        <f>M184+M185+N184+N185</f>
        <v>0</v>
      </c>
      <c r="D184" s="882"/>
      <c r="E184" s="890"/>
      <c r="F184" s="210"/>
      <c r="G184" s="879"/>
      <c r="H184" s="881"/>
      <c r="I184" s="605"/>
      <c r="J184" s="608"/>
      <c r="K184" s="605"/>
      <c r="L184" s="606"/>
      <c r="M184" s="607">
        <f t="shared" ref="M184:M185" si="73">SUM(I184:L184)</f>
        <v>0</v>
      </c>
      <c r="N184" s="628"/>
      <c r="O184" s="211"/>
    </row>
    <row r="185" spans="2:15" hidden="1">
      <c r="B185" s="878"/>
      <c r="C185" s="880"/>
      <c r="D185" s="882"/>
      <c r="E185" s="890"/>
      <c r="F185" s="618"/>
      <c r="G185" s="879"/>
      <c r="H185" s="881"/>
      <c r="I185" s="605"/>
      <c r="J185" s="608"/>
      <c r="K185" s="605"/>
      <c r="L185" s="606"/>
      <c r="M185" s="607">
        <f t="shared" si="73"/>
        <v>0</v>
      </c>
      <c r="N185" s="628"/>
      <c r="O185" s="211"/>
    </row>
    <row r="186" spans="2:15" hidden="1">
      <c r="B186" s="139" t="e">
        <f>B184+1</f>
        <v>#REF!</v>
      </c>
      <c r="C186" s="627">
        <f t="shared" ref="C186" si="74">SUM(M186:N186)</f>
        <v>0</v>
      </c>
      <c r="D186" s="538"/>
      <c r="E186" s="698"/>
      <c r="F186" s="645"/>
      <c r="G186" s="539"/>
      <c r="H186" s="25"/>
      <c r="I186" s="617"/>
      <c r="J186" s="614"/>
      <c r="K186" s="609"/>
      <c r="L186" s="603"/>
      <c r="M186" s="604">
        <f t="shared" ref="M186" si="75">SUM(I186:L186)</f>
        <v>0</v>
      </c>
      <c r="N186" s="629"/>
      <c r="O186" s="404"/>
    </row>
    <row r="187" spans="2:15" hidden="1">
      <c r="B187" s="209" t="e">
        <f>B186+1</f>
        <v>#REF!</v>
      </c>
      <c r="C187" s="626">
        <f t="shared" si="55"/>
        <v>0</v>
      </c>
      <c r="D187" s="542"/>
      <c r="E187" s="700"/>
      <c r="F187" s="175"/>
      <c r="G187" s="543"/>
      <c r="H187" s="600"/>
      <c r="I187" s="615"/>
      <c r="J187" s="606"/>
      <c r="K187" s="606"/>
      <c r="L187" s="606"/>
      <c r="M187" s="607">
        <f t="shared" si="58"/>
        <v>0</v>
      </c>
      <c r="N187" s="628"/>
      <c r="O187" s="104"/>
    </row>
    <row r="188" spans="2:15" s="60" customFormat="1" hidden="1">
      <c r="B188" s="139" t="e">
        <f t="shared" si="71"/>
        <v>#REF!</v>
      </c>
      <c r="C188" s="627">
        <f t="shared" si="55"/>
        <v>0</v>
      </c>
      <c r="D188" s="538"/>
      <c r="E188" s="537"/>
      <c r="F188" s="180"/>
      <c r="G188" s="539"/>
      <c r="H188" s="25"/>
      <c r="I188" s="616"/>
      <c r="J188" s="603"/>
      <c r="K188" s="603"/>
      <c r="L188" s="603"/>
      <c r="M188" s="604">
        <f t="shared" si="58"/>
        <v>0</v>
      </c>
      <c r="N188" s="629"/>
      <c r="O188" s="404"/>
    </row>
    <row r="189" spans="2:15" s="60" customFormat="1" hidden="1">
      <c r="B189" s="209" t="e">
        <f t="shared" si="71"/>
        <v>#REF!</v>
      </c>
      <c r="C189" s="626">
        <f t="shared" si="55"/>
        <v>0</v>
      </c>
      <c r="D189" s="542"/>
      <c r="E189" s="700"/>
      <c r="F189" s="175"/>
      <c r="G189" s="543"/>
      <c r="H189" s="544"/>
      <c r="I189" s="615"/>
      <c r="J189" s="606"/>
      <c r="K189" s="606"/>
      <c r="L189" s="606"/>
      <c r="M189" s="607">
        <f t="shared" si="58"/>
        <v>0</v>
      </c>
      <c r="N189" s="628"/>
      <c r="O189" s="104"/>
    </row>
    <row r="190" spans="2:15" s="60" customFormat="1" hidden="1">
      <c r="B190" s="884" t="e">
        <f>B189+1</f>
        <v>#REF!</v>
      </c>
      <c r="C190" s="885">
        <f>M190+M191+N190+N191</f>
        <v>0</v>
      </c>
      <c r="D190" s="886"/>
      <c r="E190" s="896"/>
      <c r="F190" s="403"/>
      <c r="G190" s="888"/>
      <c r="H190" s="889"/>
      <c r="I190" s="609"/>
      <c r="J190" s="614"/>
      <c r="K190" s="609"/>
      <c r="L190" s="603"/>
      <c r="M190" s="604">
        <f t="shared" ref="M190:M191" si="76">SUM(I190:L190)</f>
        <v>0</v>
      </c>
      <c r="N190" s="629"/>
      <c r="O190" s="404"/>
    </row>
    <row r="191" spans="2:15" hidden="1">
      <c r="B191" s="884"/>
      <c r="C191" s="885"/>
      <c r="D191" s="886"/>
      <c r="E191" s="896"/>
      <c r="F191" s="405"/>
      <c r="G191" s="888"/>
      <c r="H191" s="889"/>
      <c r="I191" s="609"/>
      <c r="J191" s="614"/>
      <c r="K191" s="609"/>
      <c r="L191" s="603"/>
      <c r="M191" s="604">
        <f t="shared" si="76"/>
        <v>0</v>
      </c>
      <c r="N191" s="629"/>
      <c r="O191" s="404"/>
    </row>
    <row r="192" spans="2:15" hidden="1">
      <c r="B192" s="209" t="e">
        <f>B190+1</f>
        <v>#REF!</v>
      </c>
      <c r="C192" s="626">
        <f t="shared" ref="C192" si="77">SUM(M192:N192)</f>
        <v>0</v>
      </c>
      <c r="D192" s="542"/>
      <c r="E192" s="699"/>
      <c r="F192" s="649"/>
      <c r="G192" s="543"/>
      <c r="H192" s="544"/>
      <c r="I192" s="650"/>
      <c r="J192" s="608"/>
      <c r="K192" s="605"/>
      <c r="L192" s="606"/>
      <c r="M192" s="607">
        <f t="shared" ref="M192" si="78">SUM(I192:L192)</f>
        <v>0</v>
      </c>
      <c r="N192" s="628"/>
      <c r="O192" s="211"/>
    </row>
    <row r="193" spans="2:15" hidden="1">
      <c r="B193" s="139" t="e">
        <f>B192+1</f>
        <v>#REF!</v>
      </c>
      <c r="C193" s="627">
        <f t="shared" si="55"/>
        <v>0</v>
      </c>
      <c r="D193" s="538"/>
      <c r="E193" s="537"/>
      <c r="F193" s="180"/>
      <c r="G193" s="539"/>
      <c r="H193" s="644"/>
      <c r="I193" s="616"/>
      <c r="J193" s="603"/>
      <c r="K193" s="603"/>
      <c r="L193" s="603"/>
      <c r="M193" s="604">
        <f t="shared" si="58"/>
        <v>0</v>
      </c>
      <c r="N193" s="629"/>
      <c r="O193" s="91"/>
    </row>
    <row r="194" spans="2:15" hidden="1">
      <c r="B194" s="209" t="e">
        <f t="shared" si="71"/>
        <v>#REF!</v>
      </c>
      <c r="C194" s="626">
        <f t="shared" si="55"/>
        <v>0</v>
      </c>
      <c r="D194" s="542"/>
      <c r="E194" s="700"/>
      <c r="F194" s="175"/>
      <c r="G194" s="543"/>
      <c r="H194" s="600"/>
      <c r="I194" s="615"/>
      <c r="J194" s="606"/>
      <c r="K194" s="606"/>
      <c r="L194" s="606"/>
      <c r="M194" s="607">
        <f t="shared" si="58"/>
        <v>0</v>
      </c>
      <c r="N194" s="628"/>
      <c r="O194" s="104"/>
    </row>
    <row r="195" spans="2:15" hidden="1">
      <c r="B195" s="139" t="e">
        <f t="shared" si="71"/>
        <v>#REF!</v>
      </c>
      <c r="C195" s="627">
        <f t="shared" si="55"/>
        <v>0</v>
      </c>
      <c r="D195" s="538"/>
      <c r="E195" s="537"/>
      <c r="F195" s="180"/>
      <c r="G195" s="539"/>
      <c r="H195" s="644"/>
      <c r="I195" s="616"/>
      <c r="J195" s="603"/>
      <c r="K195" s="603"/>
      <c r="L195" s="603"/>
      <c r="M195" s="604">
        <f t="shared" si="58"/>
        <v>0</v>
      </c>
      <c r="N195" s="629"/>
      <c r="O195" s="91"/>
    </row>
    <row r="196" spans="2:15" s="60" customFormat="1" hidden="1">
      <c r="B196" s="209" t="e">
        <f t="shared" si="71"/>
        <v>#REF!</v>
      </c>
      <c r="C196" s="626">
        <f>SUM(M196:N196)</f>
        <v>0</v>
      </c>
      <c r="D196" s="542"/>
      <c r="E196" s="700"/>
      <c r="F196" s="175"/>
      <c r="G196" s="543"/>
      <c r="H196" s="600"/>
      <c r="I196" s="615"/>
      <c r="J196" s="606"/>
      <c r="K196" s="606"/>
      <c r="L196" s="615"/>
      <c r="M196" s="607"/>
      <c r="N196" s="606"/>
      <c r="O196" s="104"/>
    </row>
    <row r="197" spans="2:15" s="60" customFormat="1" hidden="1">
      <c r="B197" s="139" t="e">
        <f>B196+1</f>
        <v>#REF!</v>
      </c>
      <c r="C197" s="627">
        <f t="shared" si="55"/>
        <v>0</v>
      </c>
      <c r="D197" s="538"/>
      <c r="E197" s="537"/>
      <c r="F197" s="180"/>
      <c r="G197" s="539"/>
      <c r="H197" s="25"/>
      <c r="I197" s="616"/>
      <c r="J197" s="603"/>
      <c r="K197" s="603"/>
      <c r="L197" s="603"/>
      <c r="M197" s="604">
        <f t="shared" si="58"/>
        <v>0</v>
      </c>
      <c r="N197" s="629"/>
      <c r="O197" s="91"/>
    </row>
    <row r="198" spans="2:15" hidden="1">
      <c r="B198" s="878" t="e">
        <f>B197+1</f>
        <v>#REF!</v>
      </c>
      <c r="C198" s="891">
        <f>M198+M199+N198+N199</f>
        <v>0</v>
      </c>
      <c r="D198" s="892"/>
      <c r="E198" s="893"/>
      <c r="F198" s="661"/>
      <c r="G198" s="894"/>
      <c r="H198" s="895"/>
      <c r="I198" s="664"/>
      <c r="J198" s="665"/>
      <c r="K198" s="664"/>
      <c r="L198" s="666"/>
      <c r="M198" s="667">
        <f t="shared" ref="M198:M199" si="79">SUM(I198:L198)</f>
        <v>0</v>
      </c>
      <c r="N198" s="668"/>
      <c r="O198" s="669"/>
    </row>
    <row r="199" spans="2:15" hidden="1">
      <c r="B199" s="878"/>
      <c r="C199" s="891"/>
      <c r="D199" s="892"/>
      <c r="E199" s="893"/>
      <c r="F199" s="670"/>
      <c r="G199" s="894"/>
      <c r="H199" s="895"/>
      <c r="I199" s="664"/>
      <c r="J199" s="665"/>
      <c r="K199" s="664"/>
      <c r="L199" s="666"/>
      <c r="M199" s="667">
        <f t="shared" si="79"/>
        <v>0</v>
      </c>
      <c r="N199" s="668"/>
      <c r="O199" s="669"/>
    </row>
    <row r="200" spans="2:15" hidden="1">
      <c r="B200" s="139" t="e">
        <f>B197+1</f>
        <v>#REF!</v>
      </c>
      <c r="C200" s="627">
        <f t="shared" si="55"/>
        <v>0</v>
      </c>
      <c r="D200" s="538"/>
      <c r="E200" s="537"/>
      <c r="F200" s="180"/>
      <c r="G200" s="539"/>
      <c r="H200" s="25"/>
      <c r="I200" s="616"/>
      <c r="J200" s="603"/>
      <c r="K200" s="603"/>
      <c r="L200" s="603"/>
      <c r="M200" s="604">
        <f t="shared" si="58"/>
        <v>0</v>
      </c>
      <c r="N200" s="629"/>
      <c r="O200" s="91"/>
    </row>
    <row r="201" spans="2:15" hidden="1">
      <c r="B201" s="209" t="e">
        <f t="shared" si="71"/>
        <v>#REF!</v>
      </c>
      <c r="C201" s="693">
        <f t="shared" si="55"/>
        <v>0</v>
      </c>
      <c r="D201" s="660"/>
      <c r="E201" s="701"/>
      <c r="F201" s="672"/>
      <c r="G201" s="662"/>
      <c r="H201" s="663"/>
      <c r="I201" s="673"/>
      <c r="J201" s="666"/>
      <c r="K201" s="666"/>
      <c r="L201" s="666"/>
      <c r="M201" s="667">
        <f t="shared" si="58"/>
        <v>0</v>
      </c>
      <c r="N201" s="668"/>
      <c r="O201" s="671"/>
    </row>
    <row r="202" spans="2:15" hidden="1">
      <c r="B202" s="139" t="e">
        <f>B201+1</f>
        <v>#REF!</v>
      </c>
      <c r="C202" s="627">
        <f t="shared" si="55"/>
        <v>0</v>
      </c>
      <c r="D202" s="538"/>
      <c r="E202" s="537"/>
      <c r="F202" s="577"/>
      <c r="G202" s="539"/>
      <c r="H202" s="25"/>
      <c r="I202" s="616"/>
      <c r="J202" s="603"/>
      <c r="K202" s="603"/>
      <c r="L202" s="603"/>
      <c r="M202" s="604">
        <f t="shared" ref="M202:M218" si="80">SUM(I202:L202)</f>
        <v>0</v>
      </c>
      <c r="N202" s="629"/>
      <c r="O202" s="91"/>
    </row>
    <row r="203" spans="2:15" hidden="1">
      <c r="B203" s="878" t="e">
        <f t="shared" si="71"/>
        <v>#REF!</v>
      </c>
      <c r="C203" s="891">
        <f>M203+M204</f>
        <v>0</v>
      </c>
      <c r="D203" s="892"/>
      <c r="E203" s="897"/>
      <c r="F203" s="672"/>
      <c r="G203" s="894"/>
      <c r="H203" s="895"/>
      <c r="I203" s="673"/>
      <c r="J203" s="666"/>
      <c r="K203" s="666"/>
      <c r="L203" s="666"/>
      <c r="M203" s="667">
        <f t="shared" si="80"/>
        <v>0</v>
      </c>
      <c r="N203" s="668"/>
      <c r="O203" s="671"/>
    </row>
    <row r="204" spans="2:15" hidden="1">
      <c r="B204" s="878"/>
      <c r="C204" s="891"/>
      <c r="D204" s="892"/>
      <c r="E204" s="897"/>
      <c r="F204" s="672"/>
      <c r="G204" s="894"/>
      <c r="H204" s="895"/>
      <c r="I204" s="673"/>
      <c r="J204" s="666"/>
      <c r="K204" s="666"/>
      <c r="L204" s="666"/>
      <c r="M204" s="667">
        <f t="shared" si="80"/>
        <v>0</v>
      </c>
      <c r="N204" s="668"/>
      <c r="O204" s="671"/>
    </row>
    <row r="205" spans="2:15" hidden="1">
      <c r="B205" s="139" t="e">
        <f>B203+1</f>
        <v>#REF!</v>
      </c>
      <c r="C205" s="627">
        <f t="shared" si="55"/>
        <v>0</v>
      </c>
      <c r="D205" s="538"/>
      <c r="E205" s="537"/>
      <c r="F205" s="577"/>
      <c r="G205" s="539"/>
      <c r="H205" s="25"/>
      <c r="I205" s="616"/>
      <c r="J205" s="603"/>
      <c r="K205" s="603"/>
      <c r="L205" s="603"/>
      <c r="M205" s="604">
        <f t="shared" si="80"/>
        <v>0</v>
      </c>
      <c r="N205" s="629"/>
      <c r="O205" s="91"/>
    </row>
    <row r="206" spans="2:15" hidden="1">
      <c r="B206" s="674" t="e">
        <f t="shared" si="71"/>
        <v>#REF!</v>
      </c>
      <c r="C206" s="693">
        <f t="shared" si="55"/>
        <v>0</v>
      </c>
      <c r="D206" s="660"/>
      <c r="E206" s="701"/>
      <c r="F206" s="672"/>
      <c r="G206" s="662"/>
      <c r="H206" s="663"/>
      <c r="I206" s="673"/>
      <c r="J206" s="666"/>
      <c r="K206" s="666"/>
      <c r="L206" s="666"/>
      <c r="M206" s="667">
        <f t="shared" si="80"/>
        <v>0</v>
      </c>
      <c r="N206" s="668"/>
      <c r="O206" s="671"/>
    </row>
    <row r="207" spans="2:15" hidden="1">
      <c r="B207" s="139" t="e">
        <f>B206+1</f>
        <v>#REF!</v>
      </c>
      <c r="C207" s="627">
        <f t="shared" si="55"/>
        <v>0</v>
      </c>
      <c r="D207" s="538"/>
      <c r="E207" s="537"/>
      <c r="F207" s="180"/>
      <c r="G207" s="539"/>
      <c r="H207" s="25"/>
      <c r="I207" s="616"/>
      <c r="J207" s="603"/>
      <c r="K207" s="603"/>
      <c r="L207" s="603"/>
      <c r="M207" s="604">
        <f t="shared" si="80"/>
        <v>0</v>
      </c>
      <c r="N207" s="629"/>
      <c r="O207" s="91"/>
    </row>
    <row r="208" spans="2:15" hidden="1">
      <c r="B208" s="878" t="e">
        <f t="shared" si="71"/>
        <v>#REF!</v>
      </c>
      <c r="C208" s="891">
        <f>M208+M209</f>
        <v>0</v>
      </c>
      <c r="D208" s="892"/>
      <c r="E208" s="897"/>
      <c r="F208" s="672"/>
      <c r="G208" s="894"/>
      <c r="H208" s="895"/>
      <c r="I208" s="673"/>
      <c r="J208" s="666"/>
      <c r="K208" s="666"/>
      <c r="L208" s="666"/>
      <c r="M208" s="667">
        <f t="shared" ref="M208:M209" si="81">SUM(I208:L208)</f>
        <v>0</v>
      </c>
      <c r="N208" s="668"/>
      <c r="O208" s="671"/>
    </row>
    <row r="209" spans="2:15" hidden="1">
      <c r="B209" s="878"/>
      <c r="C209" s="891"/>
      <c r="D209" s="892"/>
      <c r="E209" s="897"/>
      <c r="F209" s="672"/>
      <c r="G209" s="894"/>
      <c r="H209" s="895"/>
      <c r="I209" s="673"/>
      <c r="J209" s="666"/>
      <c r="K209" s="666"/>
      <c r="L209" s="666"/>
      <c r="M209" s="667">
        <f t="shared" si="81"/>
        <v>0</v>
      </c>
      <c r="N209" s="668"/>
      <c r="O209" s="671"/>
    </row>
    <row r="210" spans="2:15" hidden="1">
      <c r="B210" s="139" t="e">
        <f>B208+1</f>
        <v>#REF!</v>
      </c>
      <c r="C210" s="603">
        <f t="shared" si="55"/>
        <v>0</v>
      </c>
      <c r="D210" s="538"/>
      <c r="E210" s="537"/>
      <c r="F210" s="577"/>
      <c r="G210" s="539"/>
      <c r="H210" s="25"/>
      <c r="I210" s="616"/>
      <c r="J210" s="603"/>
      <c r="K210" s="603"/>
      <c r="L210" s="603"/>
      <c r="M210" s="604">
        <f t="shared" si="80"/>
        <v>0</v>
      </c>
      <c r="N210" s="604"/>
      <c r="O210" s="91"/>
    </row>
    <row r="211" spans="2:15" hidden="1">
      <c r="B211" s="139" t="e">
        <f t="shared" si="71"/>
        <v>#REF!</v>
      </c>
      <c r="C211" s="627">
        <f t="shared" si="55"/>
        <v>0</v>
      </c>
      <c r="D211" s="538"/>
      <c r="E211" s="537"/>
      <c r="F211" s="577"/>
      <c r="G211" s="539"/>
      <c r="H211" s="25"/>
      <c r="I211" s="616"/>
      <c r="J211" s="603"/>
      <c r="K211" s="603"/>
      <c r="L211" s="603"/>
      <c r="M211" s="604">
        <f t="shared" si="80"/>
        <v>0</v>
      </c>
      <c r="N211" s="629"/>
      <c r="O211" s="91"/>
    </row>
    <row r="212" spans="2:15" hidden="1">
      <c r="B212" s="139" t="e">
        <f t="shared" si="71"/>
        <v>#REF!</v>
      </c>
      <c r="C212" s="627">
        <f t="shared" ref="C212:C214" si="82">SUM(M212:N212)</f>
        <v>0</v>
      </c>
      <c r="D212" s="538"/>
      <c r="E212" s="537"/>
      <c r="F212" s="577"/>
      <c r="G212" s="539"/>
      <c r="H212" s="25"/>
      <c r="I212" s="616"/>
      <c r="J212" s="603"/>
      <c r="K212" s="603"/>
      <c r="L212" s="603"/>
      <c r="M212" s="604">
        <f t="shared" ref="M212:M214" si="83">SUM(I212:L212)</f>
        <v>0</v>
      </c>
      <c r="N212" s="629"/>
      <c r="O212" s="91"/>
    </row>
    <row r="213" spans="2:15" s="60" customFormat="1" hidden="1">
      <c r="B213" s="139" t="e">
        <f>B212+1</f>
        <v>#REF!</v>
      </c>
      <c r="C213" s="603">
        <f t="shared" si="82"/>
        <v>0</v>
      </c>
      <c r="D213" s="538"/>
      <c r="E213" s="537"/>
      <c r="F213" s="577"/>
      <c r="G213" s="539"/>
      <c r="H213" s="25"/>
      <c r="I213" s="616"/>
      <c r="J213" s="603"/>
      <c r="K213" s="603"/>
      <c r="L213" s="603"/>
      <c r="M213" s="604">
        <f t="shared" si="83"/>
        <v>0</v>
      </c>
      <c r="N213" s="629"/>
      <c r="O213" s="91"/>
    </row>
    <row r="214" spans="2:15" s="60" customFormat="1" hidden="1">
      <c r="B214" s="139" t="e">
        <f t="shared" si="71"/>
        <v>#REF!</v>
      </c>
      <c r="C214" s="627">
        <f t="shared" si="82"/>
        <v>0</v>
      </c>
      <c r="D214" s="538"/>
      <c r="E214" s="537"/>
      <c r="F214" s="180"/>
      <c r="G214" s="539"/>
      <c r="H214" s="25"/>
      <c r="I214" s="616"/>
      <c r="J214" s="603"/>
      <c r="K214" s="603"/>
      <c r="L214" s="603"/>
      <c r="M214" s="604">
        <f t="shared" si="83"/>
        <v>0</v>
      </c>
      <c r="N214" s="629"/>
      <c r="O214" s="91"/>
    </row>
    <row r="215" spans="2:15" hidden="1">
      <c r="B215" s="878" t="e">
        <f>B214+1</f>
        <v>#REF!</v>
      </c>
      <c r="C215" s="891">
        <f>M215+M216+N215+N216</f>
        <v>0</v>
      </c>
      <c r="D215" s="892"/>
      <c r="E215" s="893"/>
      <c r="F215" s="661"/>
      <c r="G215" s="894"/>
      <c r="H215" s="895"/>
      <c r="I215" s="664"/>
      <c r="J215" s="665"/>
      <c r="K215" s="664"/>
      <c r="L215" s="666"/>
      <c r="M215" s="667">
        <f t="shared" ref="M215:M216" si="84">SUM(I215:L215)</f>
        <v>0</v>
      </c>
      <c r="N215" s="668"/>
      <c r="O215" s="669"/>
    </row>
    <row r="216" spans="2:15" hidden="1">
      <c r="B216" s="878"/>
      <c r="C216" s="891"/>
      <c r="D216" s="892"/>
      <c r="E216" s="893"/>
      <c r="F216" s="670"/>
      <c r="G216" s="894"/>
      <c r="H216" s="895"/>
      <c r="I216" s="664"/>
      <c r="J216" s="665"/>
      <c r="K216" s="664"/>
      <c r="L216" s="666"/>
      <c r="M216" s="667">
        <f t="shared" si="84"/>
        <v>0</v>
      </c>
      <c r="N216" s="668"/>
      <c r="O216" s="669"/>
    </row>
    <row r="217" spans="2:15" hidden="1">
      <c r="B217" s="139" t="e">
        <f>B215+1</f>
        <v>#REF!</v>
      </c>
      <c r="C217" s="627">
        <f t="shared" ref="C217" si="85">SUM(M217:N217)</f>
        <v>0</v>
      </c>
      <c r="D217" s="538"/>
      <c r="E217" s="537"/>
      <c r="F217" s="180"/>
      <c r="G217" s="539"/>
      <c r="H217" s="25"/>
      <c r="I217" s="616"/>
      <c r="J217" s="603"/>
      <c r="K217" s="603"/>
      <c r="L217" s="603"/>
      <c r="M217" s="604">
        <f t="shared" ref="M217" si="86">SUM(I217:L217)</f>
        <v>0</v>
      </c>
      <c r="N217" s="629"/>
      <c r="O217" s="91"/>
    </row>
    <row r="218" spans="2:15" hidden="1">
      <c r="B218" s="139" t="e">
        <f t="shared" si="71"/>
        <v>#REF!</v>
      </c>
      <c r="C218" s="627">
        <f t="shared" si="55"/>
        <v>0</v>
      </c>
      <c r="D218" s="538"/>
      <c r="E218" s="33"/>
      <c r="F218" s="144"/>
      <c r="G218" s="383"/>
      <c r="H218" s="25"/>
      <c r="I218" s="609"/>
      <c r="J218" s="609"/>
      <c r="K218" s="603"/>
      <c r="L218" s="603"/>
      <c r="M218" s="604">
        <f t="shared" si="80"/>
        <v>0</v>
      </c>
      <c r="N218" s="629"/>
      <c r="O218" s="91"/>
    </row>
    <row r="219" spans="2:15" ht="15" thickBot="1">
      <c r="C219" s="99">
        <f>SUM(C1:C218)</f>
        <v>43517.54</v>
      </c>
      <c r="D219" s="100"/>
      <c r="E219" s="702"/>
      <c r="F219" s="119" t="s">
        <v>7</v>
      </c>
      <c r="G219" s="384"/>
      <c r="H219" s="99"/>
      <c r="I219" s="99">
        <f>SUM(I1:I218)</f>
        <v>22462</v>
      </c>
      <c r="J219" s="99">
        <f>SUM(J1:J218)</f>
        <v>18489.5</v>
      </c>
      <c r="K219" s="99">
        <f>SUM(K1:K218)</f>
        <v>0</v>
      </c>
      <c r="L219" s="99">
        <f>SUM(L1:L218)</f>
        <v>0</v>
      </c>
      <c r="M219" s="99">
        <f>SUM(I219:L219)</f>
        <v>40951.5</v>
      </c>
      <c r="N219" s="99">
        <f>SUM(N1:N218)</f>
        <v>2566.04</v>
      </c>
      <c r="O219" s="38"/>
    </row>
    <row r="220" spans="2:15" ht="15" thickTop="1">
      <c r="C220" s="38"/>
      <c r="D220" s="101"/>
      <c r="E220" s="703"/>
      <c r="F220" s="120"/>
      <c r="G220" s="385"/>
      <c r="H220" s="102"/>
      <c r="I220" s="38"/>
      <c r="J220" s="38"/>
      <c r="K220" s="102"/>
      <c r="L220" s="102"/>
      <c r="M220" s="38">
        <f>M219+N219</f>
        <v>43517.54</v>
      </c>
      <c r="N220" s="38">
        <f>M219-'Budget Analysis'!G66</f>
        <v>-0.1</v>
      </c>
    </row>
    <row r="221" spans="2:15">
      <c r="C221" s="38"/>
      <c r="D221" s="101"/>
      <c r="E221" s="703"/>
      <c r="F221" s="120"/>
      <c r="G221" s="385"/>
      <c r="H221" s="38"/>
      <c r="I221" s="38"/>
      <c r="J221" s="38"/>
      <c r="K221" s="38"/>
      <c r="L221" s="38"/>
      <c r="M221" s="38">
        <f>C219-M220</f>
        <v>0</v>
      </c>
      <c r="N221" s="38">
        <f>N220-M221</f>
        <v>-0.1</v>
      </c>
    </row>
    <row r="222" spans="2:15">
      <c r="H222" s="66"/>
      <c r="I222" s="116"/>
      <c r="M222" s="616"/>
    </row>
    <row r="223" spans="2:15" ht="15" thickBot="1">
      <c r="H223" s="66"/>
      <c r="K223" s="898">
        <f>M224-'Budget Analysis'!G23</f>
        <v>31353.02</v>
      </c>
      <c r="L223" s="899"/>
      <c r="M223" s="99">
        <f>SUM(M1:M218)</f>
        <v>40951.5</v>
      </c>
      <c r="N223" s="114">
        <f>M219-M223</f>
        <v>0</v>
      </c>
    </row>
    <row r="224" spans="2:15" ht="15" thickTop="1">
      <c r="H224" s="103"/>
      <c r="K224" s="898">
        <f>'Audit reconciliation'!E8-Payments!K223</f>
        <v>0</v>
      </c>
      <c r="L224" s="899"/>
      <c r="M224" s="114">
        <f>M223+N219</f>
        <v>43517.54</v>
      </c>
    </row>
    <row r="225" spans="8:13">
      <c r="H225" s="103"/>
      <c r="M225" s="114">
        <f>C219-M224</f>
        <v>0</v>
      </c>
    </row>
    <row r="226" spans="8:13">
      <c r="H226" s="103"/>
    </row>
  </sheetData>
  <sheetProtection algorithmName="SHA-512" hashValue="aASetIdy+hM02iL2MtTNW+WV6T8esG3WZJJ9esgewVnlrBqG/XN7+TNLM5oaM6kTZloFgJq4KYXXhtPrYLCOyA==" saltValue="XVMe/Dq9A5upERic2ySGMA==" spinCount="100000" sheet="1" selectLockedCells="1" selectUnlockedCells="1"/>
  <mergeCells count="206">
    <mergeCell ref="B130:B131"/>
    <mergeCell ref="C130:C131"/>
    <mergeCell ref="D130:D131"/>
    <mergeCell ref="E130:E131"/>
    <mergeCell ref="G130:G131"/>
    <mergeCell ref="B97:B98"/>
    <mergeCell ref="C97:C98"/>
    <mergeCell ref="D97:D98"/>
    <mergeCell ref="E97:E98"/>
    <mergeCell ref="G97:G98"/>
    <mergeCell ref="H97:H98"/>
    <mergeCell ref="B117:B118"/>
    <mergeCell ref="C117:C118"/>
    <mergeCell ref="D117:D118"/>
    <mergeCell ref="E117:E118"/>
    <mergeCell ref="G117:G118"/>
    <mergeCell ref="H117:H118"/>
    <mergeCell ref="D104:D105"/>
    <mergeCell ref="E104:E105"/>
    <mergeCell ref="K223:L223"/>
    <mergeCell ref="K224:L224"/>
    <mergeCell ref="C144:C145"/>
    <mergeCell ref="D144:D145"/>
    <mergeCell ref="E144:E145"/>
    <mergeCell ref="G144:G145"/>
    <mergeCell ref="H144:H145"/>
    <mergeCell ref="B54:B55"/>
    <mergeCell ref="C54:C55"/>
    <mergeCell ref="D54:D55"/>
    <mergeCell ref="E54:E55"/>
    <mergeCell ref="G54:G55"/>
    <mergeCell ref="H54:H55"/>
    <mergeCell ref="H184:H185"/>
    <mergeCell ref="B190:B191"/>
    <mergeCell ref="C190:C191"/>
    <mergeCell ref="D190:D191"/>
    <mergeCell ref="E190:E191"/>
    <mergeCell ref="G190:G191"/>
    <mergeCell ref="E215:E216"/>
    <mergeCell ref="G215:G216"/>
    <mergeCell ref="H215:H216"/>
    <mergeCell ref="B208:B209"/>
    <mergeCell ref="B203:B204"/>
    <mergeCell ref="B35:B36"/>
    <mergeCell ref="D35:D36"/>
    <mergeCell ref="E35:E36"/>
    <mergeCell ref="G35:G36"/>
    <mergeCell ref="H35:H36"/>
    <mergeCell ref="C35:C36"/>
    <mergeCell ref="B50:B51"/>
    <mergeCell ref="C50:C51"/>
    <mergeCell ref="D50:D51"/>
    <mergeCell ref="E50:E51"/>
    <mergeCell ref="G50:G51"/>
    <mergeCell ref="H50:H51"/>
    <mergeCell ref="B40:B41"/>
    <mergeCell ref="C40:C41"/>
    <mergeCell ref="D40:D41"/>
    <mergeCell ref="E40:E41"/>
    <mergeCell ref="G40:G41"/>
    <mergeCell ref="H40:H41"/>
    <mergeCell ref="D42:D43"/>
    <mergeCell ref="E42:E43"/>
    <mergeCell ref="G42:G43"/>
    <mergeCell ref="H42:H43"/>
    <mergeCell ref="C42:C43"/>
    <mergeCell ref="B42:B43"/>
    <mergeCell ref="C25:C26"/>
    <mergeCell ref="D25:D26"/>
    <mergeCell ref="E25:E26"/>
    <mergeCell ref="G25:G26"/>
    <mergeCell ref="H25:H26"/>
    <mergeCell ref="B25:B26"/>
    <mergeCell ref="B29:B32"/>
    <mergeCell ref="C29:C33"/>
    <mergeCell ref="D29:D33"/>
    <mergeCell ref="E29:E33"/>
    <mergeCell ref="G29:G33"/>
    <mergeCell ref="H29:H33"/>
    <mergeCell ref="B11:B12"/>
    <mergeCell ref="C11:C12"/>
    <mergeCell ref="D11:D12"/>
    <mergeCell ref="E11:E12"/>
    <mergeCell ref="H11:H12"/>
    <mergeCell ref="G11:G12"/>
    <mergeCell ref="B19:B20"/>
    <mergeCell ref="D19:D20"/>
    <mergeCell ref="E19:E20"/>
    <mergeCell ref="G19:G20"/>
    <mergeCell ref="H19:H20"/>
    <mergeCell ref="C19:C20"/>
    <mergeCell ref="B215:B216"/>
    <mergeCell ref="C215:C216"/>
    <mergeCell ref="D215:D216"/>
    <mergeCell ref="C208:C209"/>
    <mergeCell ref="D208:D209"/>
    <mergeCell ref="E208:E209"/>
    <mergeCell ref="G208:G209"/>
    <mergeCell ref="H208:H209"/>
    <mergeCell ref="D203:D204"/>
    <mergeCell ref="E203:E204"/>
    <mergeCell ref="G203:G204"/>
    <mergeCell ref="C203:C204"/>
    <mergeCell ref="H203:H204"/>
    <mergeCell ref="H190:H191"/>
    <mergeCell ref="H112:H113"/>
    <mergeCell ref="H132:H135"/>
    <mergeCell ref="H119:H122"/>
    <mergeCell ref="G154:G155"/>
    <mergeCell ref="H154:H155"/>
    <mergeCell ref="B198:B199"/>
    <mergeCell ref="C198:C199"/>
    <mergeCell ref="D198:D199"/>
    <mergeCell ref="E198:E199"/>
    <mergeCell ref="G198:G199"/>
    <mergeCell ref="H198:H199"/>
    <mergeCell ref="B170:B171"/>
    <mergeCell ref="G170:G171"/>
    <mergeCell ref="B167:B168"/>
    <mergeCell ref="C167:C168"/>
    <mergeCell ref="D167:D168"/>
    <mergeCell ref="E167:E168"/>
    <mergeCell ref="G167:G168"/>
    <mergeCell ref="H167:H168"/>
    <mergeCell ref="C170:C171"/>
    <mergeCell ref="D170:D171"/>
    <mergeCell ref="E170:E171"/>
    <mergeCell ref="H170:H171"/>
    <mergeCell ref="B184:B185"/>
    <mergeCell ref="C184:C185"/>
    <mergeCell ref="D184:D185"/>
    <mergeCell ref="E184:E185"/>
    <mergeCell ref="G184:G185"/>
    <mergeCell ref="C112:C113"/>
    <mergeCell ref="D112:D113"/>
    <mergeCell ref="E112:E113"/>
    <mergeCell ref="G112:G113"/>
    <mergeCell ref="D132:D135"/>
    <mergeCell ref="C132:C135"/>
    <mergeCell ref="G132:G135"/>
    <mergeCell ref="B132:B135"/>
    <mergeCell ref="E132:E135"/>
    <mergeCell ref="B119:B122"/>
    <mergeCell ref="C119:C122"/>
    <mergeCell ref="D119:D122"/>
    <mergeCell ref="E119:E122"/>
    <mergeCell ref="G119:G122"/>
    <mergeCell ref="B144:B145"/>
    <mergeCell ref="B154:B155"/>
    <mergeCell ref="C154:C155"/>
    <mergeCell ref="D154:D155"/>
    <mergeCell ref="E154:E155"/>
    <mergeCell ref="B57:B59"/>
    <mergeCell ref="C57:C59"/>
    <mergeCell ref="D57:D59"/>
    <mergeCell ref="E57:E59"/>
    <mergeCell ref="G57:G59"/>
    <mergeCell ref="H57:H59"/>
    <mergeCell ref="C70:C72"/>
    <mergeCell ref="B70:B72"/>
    <mergeCell ref="H70:H72"/>
    <mergeCell ref="E70:E72"/>
    <mergeCell ref="D70:D72"/>
    <mergeCell ref="G70:G72"/>
    <mergeCell ref="B66:B67"/>
    <mergeCell ref="C66:C67"/>
    <mergeCell ref="D66:D67"/>
    <mergeCell ref="E66:E67"/>
    <mergeCell ref="G66:G67"/>
    <mergeCell ref="H66:H67"/>
    <mergeCell ref="B73:B74"/>
    <mergeCell ref="C73:C74"/>
    <mergeCell ref="D73:D74"/>
    <mergeCell ref="E73:E74"/>
    <mergeCell ref="G73:G74"/>
    <mergeCell ref="H73:H74"/>
    <mergeCell ref="B81:B82"/>
    <mergeCell ref="C81:C82"/>
    <mergeCell ref="D81:D82"/>
    <mergeCell ref="E81:E82"/>
    <mergeCell ref="G81:G82"/>
    <mergeCell ref="H81:H82"/>
    <mergeCell ref="B156:B157"/>
    <mergeCell ref="G156:G157"/>
    <mergeCell ref="C156:C157"/>
    <mergeCell ref="H156:H157"/>
    <mergeCell ref="D156:D157"/>
    <mergeCell ref="E156:E157"/>
    <mergeCell ref="B92:B93"/>
    <mergeCell ref="C92:C93"/>
    <mergeCell ref="D92:D93"/>
    <mergeCell ref="E92:E93"/>
    <mergeCell ref="G92:G93"/>
    <mergeCell ref="H92:H93"/>
    <mergeCell ref="G104:G105"/>
    <mergeCell ref="C104:C105"/>
    <mergeCell ref="H104:H105"/>
    <mergeCell ref="C108:C111"/>
    <mergeCell ref="D108:D111"/>
    <mergeCell ref="E108:E111"/>
    <mergeCell ref="G108:G111"/>
    <mergeCell ref="H108:H111"/>
    <mergeCell ref="H130:H131"/>
    <mergeCell ref="B104:B105"/>
    <mergeCell ref="B108:B111"/>
    <mergeCell ref="B112:B113"/>
  </mergeCells>
  <phoneticPr fontId="30" type="noConversion"/>
  <hyperlinks>
    <hyperlink ref="F4" r:id="rId1" display="AED in phone box" xr:uid="{328E7520-9AB5-484E-921F-905BF50A74D1}"/>
    <hyperlink ref="F5" r:id="rId2" display="AED in phone box" xr:uid="{5B9A1E3F-75A5-445F-A75A-9D2F0F04FF1D}"/>
    <hyperlink ref="F6" r:id="rId3" xr:uid="{453A6ED3-531C-4673-BC55-D368CB0218A2}"/>
    <hyperlink ref="F7" r:id="rId4" xr:uid="{6874B300-5CC3-41CA-A896-9F373AB47BD5}"/>
    <hyperlink ref="F13" r:id="rId5" display="Jubillee 2022 costs" xr:uid="{09F8D6E7-D1F1-4A40-AC2C-A49973AD68CF}"/>
    <hyperlink ref="F16" r:id="rId6" display="Costs incurred" xr:uid="{85F65062-761D-48DC-96F7-6AC821F7E59F}"/>
    <hyperlink ref="F17" r:id="rId7" xr:uid="{EBFE012F-0172-40F4-9FF1-A59939587C75}"/>
    <hyperlink ref="F18" r:id="rId8" xr:uid="{986071E6-3D41-436B-A479-A4D994094CBE}"/>
    <hyperlink ref="F19:F20" r:id="rId9" display="Internal audit service" xr:uid="{F834E274-B5E0-4EEA-B37D-F64242EA2744}"/>
    <hyperlink ref="F21" r:id="rId10" xr:uid="{0A07113B-FD56-415D-9C61-F7DD2DA636B9}"/>
    <hyperlink ref="F22" r:id="rId11" xr:uid="{CB0025FD-DE4C-4BAC-ABA6-A51515B9DEEA}"/>
    <hyperlink ref="F23" r:id="rId12" xr:uid="{E8EA4C41-3244-4D6C-890C-5B80505C7001}"/>
    <hyperlink ref="F24" r:id="rId13" xr:uid="{D97AC5D8-1EC4-4D57-8ECA-0DC4A512C921}"/>
    <hyperlink ref="F25:F26" r:id="rId14" display="Churchyard grasscutting" xr:uid="{F412B4B4-80C5-4A5B-A33A-ABF3EE8BC180}"/>
    <hyperlink ref="F27" r:id="rId15" xr:uid="{24AAF99F-62FF-4A4D-8BB0-E6776716CA81}"/>
    <hyperlink ref="F28" r:id="rId16" xr:uid="{557987C6-0526-462E-8D56-8B0F8D8B6788}"/>
    <hyperlink ref="F29" r:id="rId17" xr:uid="{B3B5280C-4DE3-4375-9027-3328E8034D68}"/>
    <hyperlink ref="F30" r:id="rId18" xr:uid="{2F5D44B0-18E9-40EA-B83B-EDB9486317C3}"/>
    <hyperlink ref="F31" r:id="rId19" xr:uid="{E6F55281-9713-41DE-A0C5-646E43B8E91C}"/>
    <hyperlink ref="F32" r:id="rId20" xr:uid="{DA6F8FDA-D28B-4165-B9B6-58D8E83E86ED}"/>
    <hyperlink ref="F34" r:id="rId21" xr:uid="{D3F1AEFD-3FD1-4E95-B38B-375716046C25}"/>
    <hyperlink ref="F35" r:id="rId22" xr:uid="{7FA9C0C8-696C-4F89-BED4-96C1368D5C6E}"/>
    <hyperlink ref="F36" r:id="rId23" xr:uid="{9EA16EEF-3E88-42D4-9D02-8A14EB05AECB}"/>
    <hyperlink ref="F42" r:id="rId24" xr:uid="{E107EEB2-1EAB-443D-A398-CB5502B6FCAE}"/>
    <hyperlink ref="F43" r:id="rId25" xr:uid="{0AD8BD5D-1D1E-45A0-A73D-F465B9D12483}"/>
    <hyperlink ref="F44" r:id="rId26" xr:uid="{5B562827-C2FB-43C9-AC54-B31F547EFE6E}"/>
    <hyperlink ref="F45" r:id="rId27" xr:uid="{9016887D-0AF9-4E74-A0AC-BACF72FBD15C}"/>
    <hyperlink ref="F46" r:id="rId28" xr:uid="{47153C39-2805-4ADF-B194-6AB9F90C0C91}"/>
    <hyperlink ref="F48" r:id="rId29" xr:uid="{DE279736-5D27-453B-AC64-58599EEEDC05}"/>
    <hyperlink ref="F49" r:id="rId30" xr:uid="{AC20AD54-34AB-44A5-8491-95E628240BF2}"/>
    <hyperlink ref="F57" r:id="rId31" xr:uid="{721EF3FA-D6B9-4585-9632-77B7A89223F3}"/>
    <hyperlink ref="F59" r:id="rId32" xr:uid="{C20873E9-039B-4D1B-B083-133C427F6715}"/>
    <hyperlink ref="F60" r:id="rId33" xr:uid="{289D3840-369B-44D2-8B2C-B153080441B3}"/>
    <hyperlink ref="F61" r:id="rId34" xr:uid="{B12A1C8D-E800-430D-8F0D-461E135515E4}"/>
    <hyperlink ref="F56" r:id="rId35" xr:uid="{CEEE58E2-1DAA-4ACC-B1BB-2455268A1424}"/>
    <hyperlink ref="F64" r:id="rId36" xr:uid="{A8897770-148D-4284-999B-E7AD3DD48383}"/>
    <hyperlink ref="F65" r:id="rId37" xr:uid="{F2D6D9B9-FBE2-4147-8139-C5ECE80E1397}"/>
    <hyperlink ref="F66:F67" r:id="rId38" display="Churchyard grass-cutting" xr:uid="{A95C216D-0301-48B8-864D-8C99D8796F5F}"/>
    <hyperlink ref="F50:F51" r:id="rId39" display="Churchyard grass-cutting" xr:uid="{0B080DB9-2A1C-4DF7-84AD-1F38B52846AA}"/>
    <hyperlink ref="F69" r:id="rId40" xr:uid="{46CFFFDC-E5DC-4BB5-A72E-FCB441565138}"/>
    <hyperlink ref="F72" r:id="rId41" xr:uid="{466580E6-1D26-4E88-B67C-9AC8A56CAA54}"/>
    <hyperlink ref="F75" r:id="rId42" xr:uid="{D5C4CAE6-3BC9-49D2-9CB1-BE2C046054AC}"/>
    <hyperlink ref="F76" r:id="rId43" xr:uid="{50FD9788-FD31-4F45-B30D-ECF8881E3BC9}"/>
    <hyperlink ref="F78" r:id="rId44" xr:uid="{6736FA72-35B8-4069-9E50-93486606BAC4}"/>
    <hyperlink ref="F79" r:id="rId45" xr:uid="{8FD21BDB-60F8-4615-976E-888870576A7F}"/>
    <hyperlink ref="F84" r:id="rId46" xr:uid="{9EAF7A0D-412B-42B0-B58C-6F30A002B754}"/>
    <hyperlink ref="F85" r:id="rId47" xr:uid="{8FC4C756-9A23-439E-BDD7-9A772C18BDE7}"/>
    <hyperlink ref="F86" r:id="rId48" xr:uid="{AD4065CB-F2B5-4A8F-9D70-7DAE03128C6E}"/>
    <hyperlink ref="F87" r:id="rId49" xr:uid="{B02EBC63-8CD7-4D85-BAFB-7FE8C3B1E3AD}"/>
    <hyperlink ref="F88" r:id="rId50" xr:uid="{92369F6B-7378-4080-BD44-2AA1A757145B}"/>
    <hyperlink ref="F89" r:id="rId51" xr:uid="{1755C9A2-30DA-47EB-87F9-2B3BF45EC74B}"/>
    <hyperlink ref="F90" r:id="rId52" xr:uid="{37A4229D-CE38-4949-AEAC-34C7DCC339EC}"/>
    <hyperlink ref="F91" r:id="rId53" xr:uid="{C5A28F42-CC06-458F-82AD-9C2A56F181FA}"/>
    <hyperlink ref="F92:F93" r:id="rId54" display="Churchyard grasscutting" xr:uid="{350CFBD9-BD94-4D6C-AEAC-EBF06FA0157E}"/>
    <hyperlink ref="F94" r:id="rId55" xr:uid="{2E8368EB-3753-43A1-A06A-5BA590219C10}"/>
    <hyperlink ref="F100" r:id="rId56" xr:uid="{6BCD7C2A-F113-44BD-BF77-A41CB05C94FD}"/>
    <hyperlink ref="F101" r:id="rId57" xr:uid="{3916B438-FB80-454C-BDC1-599F9D159639}"/>
    <hyperlink ref="F104:F105" r:id="rId58" display="Churchyard grasscutting" xr:uid="{8A95DE2E-AED2-422A-93B4-A43A59E3A244}"/>
    <hyperlink ref="F104" r:id="rId59" xr:uid="{F14193C3-27DE-4FAD-A650-49597D6327E8}"/>
    <hyperlink ref="F106" r:id="rId60" xr:uid="{6EF7F696-64DE-4A7F-819E-0408A049798E}"/>
    <hyperlink ref="F107" r:id="rId61" xr:uid="{C20E2493-FDC3-4D32-989B-6EFDFEEFD617}"/>
    <hyperlink ref="F108" r:id="rId62" xr:uid="{F308DF4D-E8F0-42A4-8F37-40344D695E2D}"/>
    <hyperlink ref="F111" r:id="rId63" xr:uid="{355ED9BB-7AC8-4DB3-9080-72754A6DCB44}"/>
    <hyperlink ref="F109" r:id="rId64" xr:uid="{35D905E2-38C9-4518-B982-9C704AD4EE4D}"/>
    <hyperlink ref="F114" r:id="rId65" xr:uid="{90779B59-5966-47DC-8D3C-A1D7BAF94F71}"/>
    <hyperlink ref="F115" r:id="rId66" xr:uid="{BC89D07C-B7CB-4149-AC06-72AE7BEC2B00}"/>
    <hyperlink ref="F119" r:id="rId67" xr:uid="{CD595902-53FD-48FE-BB00-53B1FEA5C6F1}"/>
    <hyperlink ref="F122" r:id="rId68" xr:uid="{E738A51C-6EB8-4A9C-967C-DFB5E7F566E5}"/>
    <hyperlink ref="F120" r:id="rId69" display="History Group poster priniting" xr:uid="{73E425DE-E1A5-4DAC-9886-5AA5599C15EE}"/>
    <hyperlink ref="H123" r:id="rId70" xr:uid="{33E9B0AD-82B6-4C43-BAA1-B527CBBA65DD}"/>
    <hyperlink ref="F124" r:id="rId71" display="Churchyard grass-cutting" xr:uid="{ED039714-6970-469C-B040-10F944625937}"/>
    <hyperlink ref="F123" r:id="rId72" xr:uid="{0BE5C625-E5DF-4CA8-B11D-96FA70B38186}"/>
    <hyperlink ref="F125" r:id="rId73" xr:uid="{7A502D33-76D8-4146-A3D9-62166E0504B7}"/>
    <hyperlink ref="F126" r:id="rId74" xr:uid="{9BE41728-B162-4BE3-A1C7-401D59B07F0D}"/>
    <hyperlink ref="F133" r:id="rId75" xr:uid="{11A3B396-45A8-403C-BC70-11704DCE6137}"/>
    <hyperlink ref="F134" r:id="rId76" xr:uid="{67DF734A-E33A-4320-9E2B-CBC697CF2EE4}"/>
    <hyperlink ref="F135" r:id="rId77" xr:uid="{C1D787F2-6EC3-4EB4-ADB1-A57CA0B35346}"/>
    <hyperlink ref="F138" r:id="rId78" xr:uid="{CE554A29-1D07-46A1-A59D-F3F01F2A99E2}"/>
    <hyperlink ref="F139" r:id="rId79" xr:uid="{990758DB-CA6B-4909-A450-CB2BC6D93E3F}"/>
    <hyperlink ref="F140" r:id="rId80" xr:uid="{8B4C1E1D-5E07-4630-AF43-2B9179939E72}"/>
    <hyperlink ref="F141" r:id="rId81" xr:uid="{148F74CC-1E78-4395-8EB9-7F0A769574C6}"/>
    <hyperlink ref="F37" r:id="rId82" xr:uid="{EC503551-D7B6-4A82-B84C-51D220183AFF}"/>
    <hyperlink ref="F70:F71" r:id="rId83" display="Printer ink" xr:uid="{E9291C67-2A04-40EB-8EF1-B0B2FDD7771C}"/>
    <hyperlink ref="F136" r:id="rId84" xr:uid="{34908269-7A44-4200-B855-56FA26B6E4A7}"/>
    <hyperlink ref="F148" r:id="rId85" xr:uid="{950FC30E-F064-4032-B098-4959837E89FF}"/>
    <hyperlink ref="F147" r:id="rId86" xr:uid="{63027E78-D430-4E89-8413-5D443AB2BFCE}"/>
    <hyperlink ref="F149" r:id="rId87" xr:uid="{E69FD35B-BAF7-4659-90E5-D512B262BD6B}"/>
    <hyperlink ref="F156" r:id="rId88" display="Wix website " xr:uid="{A0BACC50-DC5A-460E-A7AA-E842AE2FAA4F}"/>
    <hyperlink ref="F159" r:id="rId89" xr:uid="{81C6B665-98E5-4C69-909D-D3E7E5D768D2}"/>
    <hyperlink ref="F160" r:id="rId90" xr:uid="{31334533-8F43-4452-B2BE-23A1EEA13502}"/>
    <hyperlink ref="F161" r:id="rId91" xr:uid="{6B744868-C8F2-4A68-8410-DA984A808CB6}"/>
    <hyperlink ref="F162" r:id="rId92" xr:uid="{CC2D80B8-5160-41FF-B46A-46DCC2567385}"/>
    <hyperlink ref="F163" r:id="rId93" xr:uid="{617C34B2-085B-41D7-852D-C8ECE28825E9}"/>
    <hyperlink ref="F164" r:id="rId94" xr:uid="{8CD17C4E-3BD7-4CD3-9120-FD7E12DB83A0}"/>
    <hyperlink ref="F151" r:id="rId95" xr:uid="{0D88E111-51D1-4A01-90DF-10CA41CC337A}"/>
    <hyperlink ref="F152" r:id="rId96" xr:uid="{C5D7BFD5-3758-4F44-8617-4719971AE141}"/>
  </hyperlinks>
  <printOptions horizontalCentered="1" verticalCentered="1"/>
  <pageMargins left="0" right="0" top="0.78740157480314965" bottom="0.39370078740157483" header="0.51181102362204722" footer="0.51181102362204722"/>
  <pageSetup paperSize="9" scale="72" fitToHeight="0" orientation="landscape" r:id="rId97"/>
  <headerFooter alignWithMargins="0">
    <oddHeader xml:space="preserve">&amp;LNassington Parish Council
Northamptonshire&amp;C&amp;A&amp;RAccounts to y/e 31 March 2024
</oddHeader>
  </headerFooter>
  <drawing r:id="rId98"/>
  <extLst>
    <ext xmlns:x14="http://schemas.microsoft.com/office/spreadsheetml/2009/9/main" uri="{CCE6A557-97BC-4b89-ADB6-D9C93CAAB3DF}">
      <x14:dataValidations xmlns:xm="http://schemas.microsoft.com/office/excel/2006/main" count="2">
        <x14:dataValidation type="list" allowBlank="1" showInputMessage="1" showErrorMessage="1" xr:uid="{2EA2D796-D46D-461D-B0B0-6EC0F81E6652}">
          <x14:formula1>
            <xm:f>'Budget Analysis'!$D$20:$D$64</xm:f>
          </x14:formula1>
          <xm:sqref>O3:O4 O22:O34 O6:O20 O37:O44 O46:O60 O62:O78 O80:O114 O116:O218</xm:sqref>
        </x14:dataValidation>
        <x14:dataValidation type="list" allowBlank="1" showInputMessage="1" showErrorMessage="1" xr:uid="{D01CA7B8-E2D1-4663-93E9-7A03F3CBCCDC}">
          <x14:formula1>
            <xm:f>'Budget Analysis'!$D$20:$D$63</xm:f>
          </x14:formula1>
          <xm:sqref>O5 O21 O45 O35:O36 O61 O79 O115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31"/>
  </sheetPr>
  <dimension ref="A1:O36"/>
  <sheetViews>
    <sheetView showGridLines="0" workbookViewId="0">
      <selection activeCell="E21" sqref="E21"/>
    </sheetView>
  </sheetViews>
  <sheetFormatPr defaultColWidth="9.109375" defaultRowHeight="15.6"/>
  <cols>
    <col min="1" max="1" width="15.44140625" style="68" customWidth="1"/>
    <col min="2" max="2" width="46.88671875" style="68" customWidth="1"/>
    <col min="3" max="3" width="15.109375" style="68" customWidth="1"/>
    <col min="4" max="4" width="3" style="68" customWidth="1"/>
    <col min="5" max="5" width="32.44140625" style="68" bestFit="1" customWidth="1"/>
    <col min="6" max="6" width="15.6640625" style="69" bestFit="1" customWidth="1"/>
    <col min="7" max="7" width="13.88671875" style="68" hidden="1" customWidth="1"/>
    <col min="8" max="9" width="11.5546875" style="68" bestFit="1" customWidth="1"/>
    <col min="10" max="10" width="9.44140625" style="68" bestFit="1" customWidth="1"/>
    <col min="11" max="12" width="9.109375" style="68"/>
    <col min="13" max="13" width="11.5546875" style="69" bestFit="1" customWidth="1"/>
    <col min="14" max="14" width="11.5546875" style="68" bestFit="1" customWidth="1"/>
    <col min="15" max="16384" width="9.109375" style="68"/>
  </cols>
  <sheetData>
    <row r="1" spans="1:15" ht="9" customHeight="1"/>
    <row r="2" spans="1:15" ht="14.25" customHeight="1">
      <c r="B2" s="70" t="s">
        <v>51</v>
      </c>
      <c r="C2" s="71">
        <v>45382</v>
      </c>
      <c r="D2" s="78"/>
      <c r="E2" s="72" t="s">
        <v>375</v>
      </c>
    </row>
    <row r="4" spans="1:15">
      <c r="A4" s="73" t="s">
        <v>15</v>
      </c>
      <c r="B4" s="73" t="s">
        <v>11</v>
      </c>
      <c r="C4" s="74"/>
      <c r="E4" s="75" t="s">
        <v>52</v>
      </c>
      <c r="F4" s="401">
        <f>C2</f>
        <v>45382</v>
      </c>
      <c r="H4" s="131"/>
      <c r="J4" s="105"/>
      <c r="K4" s="130"/>
      <c r="L4" s="94"/>
    </row>
    <row r="5" spans="1:15">
      <c r="A5" s="401">
        <f>C2</f>
        <v>45382</v>
      </c>
      <c r="C5" s="76"/>
      <c r="F5" s="77"/>
      <c r="G5" s="81">
        <f>[6]Balances!$F$6</f>
        <v>2280.29</v>
      </c>
      <c r="H5" s="132"/>
      <c r="J5" s="105"/>
      <c r="K5" s="130"/>
      <c r="L5" s="94"/>
    </row>
    <row r="6" spans="1:15">
      <c r="A6" s="78"/>
      <c r="B6" s="68" t="str">
        <f>+E6</f>
        <v>Current account</v>
      </c>
      <c r="C6" s="704">
        <f>F6</f>
        <v>3109.38</v>
      </c>
      <c r="E6" s="68" t="s">
        <v>269</v>
      </c>
      <c r="F6" s="704">
        <v>3109.38</v>
      </c>
      <c r="G6" s="81" t="e">
        <f>Payments!C69+Payments!#REF!+Payments!#REF!+Payments!C65+Payments!C64+Payments!#REF!+Payments!C63+Payments!C62+Payments!#REF!+Payments!C68+Payments!#REF!+Payments!C53+Payments!C52+Payments!C48+Payments!C47+Payments!C46+Payments!#REF!+Payments!C45+Payments!C44</f>
        <v>#REF!</v>
      </c>
      <c r="H6" s="84"/>
      <c r="I6" s="84"/>
      <c r="J6" s="105"/>
      <c r="K6" s="130"/>
      <c r="L6" s="94"/>
      <c r="N6" s="549"/>
      <c r="O6" s="549"/>
    </row>
    <row r="7" spans="1:15">
      <c r="B7" s="79" t="s">
        <v>217</v>
      </c>
      <c r="C7" s="704">
        <f>SUMIF(Payments!G6:G218,"",Payments!C6:C218)</f>
        <v>0</v>
      </c>
      <c r="E7" s="68" t="s">
        <v>61</v>
      </c>
      <c r="F7" s="704">
        <v>48541</v>
      </c>
      <c r="G7" s="81" t="e">
        <f>G6+Payments!C49+Payments!#REF!</f>
        <v>#REF!</v>
      </c>
      <c r="J7" s="105"/>
      <c r="K7" s="130"/>
      <c r="L7" s="94"/>
      <c r="N7" s="549"/>
    </row>
    <row r="8" spans="1:15">
      <c r="B8" s="80" t="s">
        <v>275</v>
      </c>
      <c r="C8" s="704"/>
      <c r="E8" s="68" t="s">
        <v>512</v>
      </c>
      <c r="F8" s="704">
        <v>0</v>
      </c>
      <c r="G8" s="81">
        <f>SUM(Payments!C44:C69)</f>
        <v>10680.07</v>
      </c>
      <c r="I8" s="84"/>
      <c r="J8" s="548"/>
      <c r="K8" s="130"/>
      <c r="L8" s="94"/>
      <c r="N8" s="549"/>
    </row>
    <row r="9" spans="1:15">
      <c r="B9" s="68" t="s">
        <v>359</v>
      </c>
      <c r="C9" s="704"/>
      <c r="E9" s="68" t="s">
        <v>358</v>
      </c>
      <c r="F9" s="704">
        <v>89560.39</v>
      </c>
      <c r="G9" s="81" t="e">
        <f>G8-G6</f>
        <v>#REF!</v>
      </c>
      <c r="J9" s="105"/>
      <c r="K9" s="130"/>
      <c r="L9" s="94"/>
    </row>
    <row r="10" spans="1:15" ht="13.5" customHeight="1">
      <c r="C10" s="704"/>
      <c r="E10" s="75" t="s">
        <v>33</v>
      </c>
      <c r="F10" s="705">
        <f>SUM(F6:F9)</f>
        <v>141210.76999999999</v>
      </c>
      <c r="G10" s="81" t="e">
        <f>[6]Balances!$F$8-#REF!</f>
        <v>#REF!</v>
      </c>
    </row>
    <row r="11" spans="1:15">
      <c r="B11" s="68" t="s">
        <v>16</v>
      </c>
      <c r="C11" s="705">
        <f>C6-C7-C9+C10+C8</f>
        <v>3109.38</v>
      </c>
      <c r="F11" s="705"/>
      <c r="G11" s="81"/>
    </row>
    <row r="12" spans="1:15" ht="16.2" thickBot="1">
      <c r="B12" s="68" t="str">
        <f>E9</f>
        <v>Nationwide 95 day saver</v>
      </c>
      <c r="C12" s="705">
        <f>F9</f>
        <v>89560.39</v>
      </c>
      <c r="E12" s="68" t="s">
        <v>32</v>
      </c>
      <c r="F12" s="706">
        <f>F10+C8</f>
        <v>141210.76999999999</v>
      </c>
      <c r="G12" s="76"/>
      <c r="J12" s="105"/>
      <c r="K12" s="130"/>
      <c r="L12" s="94"/>
    </row>
    <row r="13" spans="1:15" ht="16.2" thickTop="1">
      <c r="B13" s="68" t="s">
        <v>512</v>
      </c>
      <c r="C13" s="989">
        <f>F8</f>
        <v>0</v>
      </c>
      <c r="E13" s="68" t="s">
        <v>34</v>
      </c>
      <c r="F13" s="77">
        <f>C9+C7</f>
        <v>0</v>
      </c>
      <c r="G13" s="76"/>
      <c r="J13" s="105"/>
      <c r="K13" s="130"/>
      <c r="L13" s="94"/>
    </row>
    <row r="14" spans="1:15">
      <c r="B14" s="68" t="str">
        <f>E7</f>
        <v>Tailored reserve</v>
      </c>
      <c r="C14" s="704">
        <f>F7</f>
        <v>48541</v>
      </c>
      <c r="F14" s="77"/>
      <c r="G14" s="76"/>
      <c r="J14" s="105"/>
      <c r="K14" s="130"/>
      <c r="L14" s="94"/>
    </row>
    <row r="15" spans="1:15" ht="16.2" thickBot="1">
      <c r="A15" s="78"/>
      <c r="B15" s="75" t="s">
        <v>29</v>
      </c>
      <c r="C15" s="988">
        <f>SUM(C11:C14)</f>
        <v>141210.76999999999</v>
      </c>
      <c r="E15" s="70" t="s">
        <v>35</v>
      </c>
      <c r="F15" s="694">
        <f>F12+F14-F13</f>
        <v>141210.76999999999</v>
      </c>
      <c r="G15" s="76"/>
      <c r="J15" s="105"/>
      <c r="K15" s="130"/>
      <c r="L15" s="94"/>
    </row>
    <row r="16" spans="1:15" ht="16.2" thickTop="1">
      <c r="A16" s="78"/>
      <c r="C16" s="704"/>
      <c r="F16" s="77"/>
      <c r="G16" s="76"/>
      <c r="J16" s="105"/>
      <c r="K16" s="130"/>
      <c r="L16" s="94"/>
    </row>
    <row r="17" spans="1:12">
      <c r="A17" s="78"/>
      <c r="B17" s="68" t="s">
        <v>17</v>
      </c>
      <c r="C17" s="704"/>
      <c r="F17" s="86"/>
      <c r="G17" s="87"/>
      <c r="J17" s="105"/>
      <c r="K17" s="130"/>
      <c r="L17" s="94"/>
    </row>
    <row r="18" spans="1:12">
      <c r="B18" s="68" t="s">
        <v>18</v>
      </c>
      <c r="C18" s="705">
        <v>113112.76</v>
      </c>
      <c r="F18" s="77"/>
      <c r="G18" s="77"/>
      <c r="H18" s="77"/>
      <c r="I18" s="82"/>
      <c r="J18" s="105"/>
      <c r="K18" s="130"/>
      <c r="L18" s="94"/>
    </row>
    <row r="19" spans="1:12">
      <c r="A19" s="78"/>
      <c r="B19" s="68" t="s">
        <v>19</v>
      </c>
      <c r="C19" s="705">
        <f>+Receipts!M70</f>
        <v>71615.55</v>
      </c>
      <c r="F19" s="77"/>
      <c r="G19" s="77"/>
      <c r="J19" s="105"/>
      <c r="K19" s="130"/>
      <c r="L19" s="94"/>
    </row>
    <row r="20" spans="1:12" ht="16.2" thickBot="1">
      <c r="B20" s="68" t="s">
        <v>20</v>
      </c>
      <c r="C20" s="706">
        <f>+Payments!C219</f>
        <v>43517.54</v>
      </c>
      <c r="E20" s="84"/>
      <c r="F20" s="77"/>
      <c r="G20" s="83"/>
      <c r="J20" s="105"/>
      <c r="K20" s="130"/>
      <c r="L20" s="94"/>
    </row>
    <row r="21" spans="1:12" ht="14.25" customHeight="1" thickTop="1">
      <c r="B21" s="680"/>
      <c r="C21" s="704"/>
      <c r="E21" s="84"/>
      <c r="F21" s="77"/>
      <c r="G21" s="76"/>
      <c r="J21" s="105"/>
      <c r="K21" s="130"/>
      <c r="L21" s="94"/>
    </row>
    <row r="22" spans="1:12">
      <c r="B22" s="75" t="s">
        <v>30</v>
      </c>
      <c r="C22" s="704">
        <f>C18+C19-C20</f>
        <v>141210.76999999999</v>
      </c>
      <c r="E22" s="84"/>
      <c r="F22" s="77"/>
      <c r="G22" s="76"/>
      <c r="J22" s="105"/>
      <c r="K22" s="130"/>
      <c r="L22" s="94"/>
    </row>
    <row r="23" spans="1:12">
      <c r="C23" s="77"/>
      <c r="D23" s="68" t="s">
        <v>26</v>
      </c>
      <c r="E23" s="84"/>
      <c r="F23" s="77"/>
      <c r="G23" s="76"/>
      <c r="J23" s="105"/>
      <c r="K23" s="130"/>
      <c r="L23" s="94"/>
    </row>
    <row r="24" spans="1:12">
      <c r="B24" s="68" t="s">
        <v>38</v>
      </c>
      <c r="C24" s="77">
        <f>C15-C22</f>
        <v>0</v>
      </c>
      <c r="D24" s="84"/>
      <c r="E24" s="84"/>
      <c r="F24" s="77"/>
      <c r="G24" s="76"/>
      <c r="J24" s="105"/>
      <c r="K24" s="130"/>
      <c r="L24" s="94"/>
    </row>
    <row r="25" spans="1:12">
      <c r="C25" s="77"/>
      <c r="D25" s="84"/>
      <c r="E25" s="84"/>
      <c r="F25" s="77"/>
      <c r="G25" s="76"/>
      <c r="J25" s="105"/>
      <c r="K25" s="130"/>
      <c r="L25" s="94"/>
    </row>
    <row r="26" spans="1:12">
      <c r="C26" s="69"/>
      <c r="E26" s="84"/>
      <c r="F26" s="77"/>
      <c r="G26" s="81"/>
      <c r="J26" s="105"/>
      <c r="K26" s="130"/>
      <c r="L26" s="94"/>
    </row>
    <row r="27" spans="1:12">
      <c r="C27" s="69"/>
      <c r="F27" s="77"/>
      <c r="G27" s="76"/>
      <c r="J27" s="105"/>
      <c r="K27" s="130"/>
      <c r="L27" s="94"/>
    </row>
    <row r="28" spans="1:12" ht="8.25" customHeight="1">
      <c r="C28" s="69"/>
      <c r="E28" s="84"/>
      <c r="J28" s="105"/>
      <c r="K28" s="130"/>
      <c r="L28" s="94"/>
    </row>
    <row r="29" spans="1:12">
      <c r="C29" s="69"/>
      <c r="D29" s="85"/>
      <c r="J29" s="105"/>
      <c r="K29" s="130"/>
      <c r="L29" s="94"/>
    </row>
    <row r="30" spans="1:12">
      <c r="D30" s="84"/>
      <c r="J30" s="105"/>
      <c r="K30" s="130"/>
      <c r="L30" s="94"/>
    </row>
    <row r="31" spans="1:12">
      <c r="C31" s="84"/>
      <c r="J31" s="105"/>
      <c r="K31" s="130"/>
      <c r="L31" s="94"/>
    </row>
    <row r="32" spans="1:12">
      <c r="J32" s="105"/>
      <c r="K32" s="130"/>
      <c r="L32" s="94"/>
    </row>
    <row r="33" spans="3:14">
      <c r="C33" s="84"/>
      <c r="J33" s="105"/>
      <c r="K33" s="130"/>
      <c r="L33" s="94"/>
    </row>
    <row r="34" spans="3:14">
      <c r="J34" s="105"/>
      <c r="K34" s="130"/>
      <c r="L34" s="94"/>
    </row>
    <row r="35" spans="3:14">
      <c r="J35" s="105"/>
      <c r="K35" s="130"/>
      <c r="L35" s="94"/>
    </row>
    <row r="36" spans="3:14">
      <c r="N36" s="69"/>
    </row>
  </sheetData>
  <sheetProtection algorithmName="SHA-512" hashValue="8E+qVgpN3704X5pPnwq/cznKuvd909/hL98hWWEl4gjziUkup6fUjsd6i1SmQdqn9gISWQMysl4hTTlvyA4h7g==" saltValue="UzeY3k4v6A0gTm/AMwsqug==" spinCount="100000" sheet="1" objects="1" scenarios="1"/>
  <phoneticPr fontId="0" type="noConversion"/>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oddHeader xml:space="preserve">&amp;LNassington Parish Council
Northamptonshire&amp;C
Bank Reconciliation
&amp;RAccounts to y/e 31 Mar 2024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2"/>
  </sheetPr>
  <dimension ref="C2:F19"/>
  <sheetViews>
    <sheetView showGridLines="0" workbookViewId="0"/>
  </sheetViews>
  <sheetFormatPr defaultColWidth="9.109375" defaultRowHeight="14.4"/>
  <cols>
    <col min="1" max="2" width="9.109375" style="121"/>
    <col min="3" max="3" width="34.109375" style="121" bestFit="1" customWidth="1"/>
    <col min="4" max="4" width="24.5546875" style="121" bestFit="1" customWidth="1"/>
    <col min="5" max="5" width="12.88671875" style="122" bestFit="1" customWidth="1"/>
    <col min="6" max="6" width="11.5546875" style="121" bestFit="1" customWidth="1"/>
    <col min="7" max="16384" width="9.109375" style="121"/>
  </cols>
  <sheetData>
    <row r="2" spans="3:6">
      <c r="C2" s="121" t="s">
        <v>182</v>
      </c>
      <c r="D2" s="121" t="s">
        <v>183</v>
      </c>
      <c r="E2" s="122">
        <f>Balances!F6</f>
        <v>3109.38</v>
      </c>
    </row>
    <row r="3" spans="3:6">
      <c r="C3" s="121" t="s">
        <v>184</v>
      </c>
      <c r="D3" s="121" t="s">
        <v>185</v>
      </c>
      <c r="E3" s="122">
        <f>Balances!F7</f>
        <v>48541</v>
      </c>
    </row>
    <row r="4" spans="3:6">
      <c r="D4" s="121" t="s">
        <v>376</v>
      </c>
      <c r="E4" s="122">
        <f>Balances!F9</f>
        <v>89560.39</v>
      </c>
    </row>
    <row r="5" spans="3:6">
      <c r="D5" s="121" t="s">
        <v>287</v>
      </c>
      <c r="E5" s="122" t="e">
        <f>Balances!#REF!</f>
        <v>#REF!</v>
      </c>
    </row>
    <row r="6" spans="3:6" ht="15" thickBot="1">
      <c r="E6" s="123" t="e">
        <f>SUM(E2:E5)</f>
        <v>#REF!</v>
      </c>
    </row>
    <row r="7" spans="3:6" ht="15" thickTop="1"/>
    <row r="8" spans="3:6">
      <c r="C8" s="121" t="s">
        <v>204</v>
      </c>
      <c r="E8" s="122">
        <f>Balances!C7</f>
        <v>0</v>
      </c>
    </row>
    <row r="9" spans="3:6">
      <c r="C9" s="121" t="s">
        <v>205</v>
      </c>
    </row>
    <row r="10" spans="3:6">
      <c r="C10" s="121" t="s">
        <v>187</v>
      </c>
      <c r="E10" s="122">
        <v>0</v>
      </c>
    </row>
    <row r="11" spans="3:6">
      <c r="E11" s="122">
        <v>0</v>
      </c>
    </row>
    <row r="12" spans="3:6">
      <c r="C12" s="121" t="s">
        <v>188</v>
      </c>
      <c r="D12" s="900" t="s">
        <v>186</v>
      </c>
    </row>
    <row r="13" spans="3:6" ht="28.8">
      <c r="C13" s="124" t="s">
        <v>189</v>
      </c>
      <c r="D13" s="900"/>
    </row>
    <row r="14" spans="3:6">
      <c r="E14" s="122" t="e">
        <f>E6+E9-E8</f>
        <v>#REF!</v>
      </c>
      <c r="F14" s="125" t="e">
        <f>E14</f>
        <v>#REF!</v>
      </c>
    </row>
    <row r="15" spans="3:6">
      <c r="E15" s="121"/>
    </row>
    <row r="16" spans="3:6">
      <c r="C16" s="121" t="s">
        <v>6</v>
      </c>
    </row>
    <row r="17" spans="3:6" ht="28.8">
      <c r="C17" s="124" t="s">
        <v>378</v>
      </c>
      <c r="E17" s="127">
        <f>+'Audit reconciliation'!E11</f>
        <v>141210.76999999999</v>
      </c>
      <c r="F17" s="128">
        <f>E17</f>
        <v>141211</v>
      </c>
    </row>
    <row r="19" spans="3:6" ht="28.8">
      <c r="C19" s="124" t="s">
        <v>377</v>
      </c>
      <c r="E19" s="126" t="e">
        <f>IF(E17=E14,"yes","no")</f>
        <v>#REF!</v>
      </c>
    </row>
  </sheetData>
  <sheetProtection algorithmName="SHA-512" hashValue="a60Mw5KeCiPQX+8ETO3EDUZqTTfQLssh8P3U3QHfwDCCPRSyvvBXzoKHfNLPmg97gD5NcIfo0jbjV6lHO30cZQ==" saltValue="ypOtthSKGBZ4D17rQYu6iA==" spinCount="100000" sheet="1" objects="1" scenarios="1"/>
  <mergeCells count="1">
    <mergeCell ref="D12:D13"/>
  </mergeCells>
  <printOptions horizontalCentered="1" verticalCentered="1"/>
  <pageMargins left="0" right="0" top="0.78740157480314965" bottom="0.59055118110236227" header="0.51181102362204722" footer="0.51181102362204722"/>
  <pageSetup paperSize="9" orientation="portrait" r:id="rId1"/>
  <headerFooter alignWithMargins="0">
    <oddHeader xml:space="preserve">&amp;LNorthamptonshire
NO164&amp;CNassington Parish Council
Audit Bank Reconciliation &amp;RAccounts to y/e 31 March 2024
</oddHead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FFAE-E11D-4E98-B261-E009CE4604DB}">
  <dimension ref="B2:E28"/>
  <sheetViews>
    <sheetView topLeftCell="A12" workbookViewId="0"/>
  </sheetViews>
  <sheetFormatPr defaultRowHeight="13.2"/>
  <sheetData>
    <row r="2" spans="2:4" ht="14.4">
      <c r="B2" s="648" t="s">
        <v>404</v>
      </c>
      <c r="C2" s="2" t="s">
        <v>402</v>
      </c>
      <c r="D2" s="2" t="s">
        <v>403</v>
      </c>
    </row>
    <row r="3" spans="2:4">
      <c r="B3" s="646">
        <v>44166</v>
      </c>
      <c r="C3">
        <v>3.75</v>
      </c>
      <c r="D3">
        <v>0.18</v>
      </c>
    </row>
    <row r="4" spans="2:4">
      <c r="B4" s="646">
        <v>44197</v>
      </c>
      <c r="C4">
        <v>4.51</v>
      </c>
      <c r="D4">
        <v>0.22</v>
      </c>
    </row>
    <row r="5" spans="2:4">
      <c r="B5" s="646">
        <v>44228</v>
      </c>
      <c r="C5">
        <v>4.51</v>
      </c>
      <c r="D5">
        <v>0.22</v>
      </c>
    </row>
    <row r="6" spans="2:4">
      <c r="B6" s="646">
        <v>44256</v>
      </c>
      <c r="C6">
        <v>4.67</v>
      </c>
      <c r="D6">
        <v>0.23</v>
      </c>
    </row>
    <row r="7" spans="2:4">
      <c r="B7" s="646">
        <v>44287</v>
      </c>
      <c r="C7">
        <v>4.83</v>
      </c>
      <c r="D7">
        <v>0.24</v>
      </c>
    </row>
    <row r="8" spans="2:4">
      <c r="B8" s="646">
        <v>44317</v>
      </c>
      <c r="C8" s="2">
        <v>4.51</v>
      </c>
      <c r="D8">
        <v>0.22</v>
      </c>
    </row>
    <row r="9" spans="2:4">
      <c r="B9" s="646">
        <v>44348</v>
      </c>
      <c r="C9" s="2">
        <v>4.67</v>
      </c>
      <c r="D9">
        <v>0.23</v>
      </c>
    </row>
    <row r="10" spans="2:4">
      <c r="B10" s="646">
        <v>44378</v>
      </c>
      <c r="C10" s="2">
        <v>4.67</v>
      </c>
      <c r="D10">
        <v>0.23</v>
      </c>
    </row>
    <row r="11" spans="2:4">
      <c r="B11" s="646">
        <v>44409</v>
      </c>
      <c r="C11" s="2">
        <v>4.67</v>
      </c>
      <c r="D11">
        <v>0.23</v>
      </c>
    </row>
    <row r="12" spans="2:4">
      <c r="B12" s="646">
        <v>44440</v>
      </c>
      <c r="C12" s="2">
        <v>4.67</v>
      </c>
      <c r="D12">
        <v>0.23</v>
      </c>
    </row>
    <row r="13" spans="2:4">
      <c r="B13" s="646">
        <v>44470</v>
      </c>
      <c r="C13" s="2">
        <v>4.67</v>
      </c>
      <c r="D13">
        <v>0.23</v>
      </c>
    </row>
    <row r="14" spans="2:4">
      <c r="B14" s="646">
        <v>44501</v>
      </c>
      <c r="C14" s="2">
        <v>4.67</v>
      </c>
      <c r="D14">
        <v>0.23</v>
      </c>
    </row>
    <row r="15" spans="2:4">
      <c r="B15" s="646">
        <v>44531</v>
      </c>
      <c r="C15" s="2">
        <v>4.83</v>
      </c>
      <c r="D15">
        <v>0.24</v>
      </c>
    </row>
    <row r="16" spans="2:4">
      <c r="B16" s="646">
        <v>44562</v>
      </c>
      <c r="C16" s="2">
        <v>4.51</v>
      </c>
      <c r="D16">
        <v>0.22</v>
      </c>
    </row>
    <row r="17" spans="2:5">
      <c r="B17" s="646">
        <v>44593</v>
      </c>
      <c r="C17" s="2">
        <v>4.51</v>
      </c>
      <c r="D17">
        <v>0.22</v>
      </c>
    </row>
    <row r="18" spans="2:5">
      <c r="B18" s="646">
        <v>44621</v>
      </c>
      <c r="C18" s="2">
        <v>36.14</v>
      </c>
      <c r="D18">
        <v>1.81</v>
      </c>
    </row>
    <row r="19" spans="2:5">
      <c r="B19" s="646">
        <v>44652</v>
      </c>
      <c r="C19" s="2">
        <v>36.049999999999997</v>
      </c>
      <c r="D19">
        <v>1.8</v>
      </c>
    </row>
    <row r="20" spans="2:5">
      <c r="B20" s="646">
        <v>44682</v>
      </c>
      <c r="C20" s="2">
        <v>35.53</v>
      </c>
      <c r="D20">
        <v>1.77</v>
      </c>
    </row>
    <row r="21" spans="2:5">
      <c r="B21" s="646">
        <v>44713</v>
      </c>
      <c r="C21" s="2">
        <v>36.049999999999997</v>
      </c>
      <c r="D21">
        <v>1.8</v>
      </c>
    </row>
    <row r="22" spans="2:5">
      <c r="B22" s="646">
        <v>44743</v>
      </c>
      <c r="C22" s="2">
        <v>36.049999999999997</v>
      </c>
      <c r="D22">
        <v>1.8</v>
      </c>
    </row>
    <row r="23" spans="2:5">
      <c r="B23" s="646">
        <v>44774</v>
      </c>
      <c r="C23" s="2">
        <v>36.049999999999997</v>
      </c>
      <c r="D23">
        <v>1.8</v>
      </c>
    </row>
    <row r="24" spans="2:5">
      <c r="B24" s="647">
        <v>44805</v>
      </c>
      <c r="C24" s="2">
        <v>45.74</v>
      </c>
      <c r="D24">
        <v>2.2799999999999998</v>
      </c>
    </row>
    <row r="25" spans="2:5">
      <c r="B25" s="646">
        <v>44835</v>
      </c>
      <c r="C25" s="2">
        <v>41.81</v>
      </c>
      <c r="D25">
        <v>2.09</v>
      </c>
    </row>
    <row r="26" spans="2:5">
      <c r="B26" s="646">
        <v>44866</v>
      </c>
      <c r="C26" s="2">
        <v>42.29</v>
      </c>
      <c r="D26">
        <v>2.11</v>
      </c>
    </row>
    <row r="27" spans="2:5">
      <c r="B27" s="646">
        <v>44896</v>
      </c>
      <c r="C27" s="2">
        <v>42.77</v>
      </c>
      <c r="D27">
        <v>2.13</v>
      </c>
    </row>
    <row r="28" spans="2:5">
      <c r="C28">
        <f>SUM(C3:C27)</f>
        <v>457.13</v>
      </c>
      <c r="D28">
        <f>SUM(D3:D27)</f>
        <v>22.76</v>
      </c>
      <c r="E28">
        <f>457.13+22.76</f>
        <v>479.89</v>
      </c>
    </row>
  </sheetData>
  <hyperlinks>
    <hyperlink ref="B2" r:id="rId1" xr:uid="{6243961A-D970-4553-8AE1-EC30C6190EB6}"/>
  </hyperlinks>
  <pageMargins left="0.7" right="0.7" top="0.75" bottom="0.75" header="0.3" footer="0.3"/>
  <pageSetup orientation="portrait" horizontalDpi="4294967292"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R21"/>
  <sheetViews>
    <sheetView zoomScaleNormal="100" workbookViewId="0">
      <pane ySplit="2" topLeftCell="A3" activePane="bottomLeft" state="frozen"/>
      <selection pane="bottomLeft"/>
    </sheetView>
  </sheetViews>
  <sheetFormatPr defaultColWidth="9.109375" defaultRowHeight="13.2"/>
  <cols>
    <col min="1" max="1" width="9" style="558" bestFit="1" customWidth="1"/>
    <col min="2" max="2" width="9.109375" style="553"/>
    <col min="3" max="3" width="15.88671875" style="553" customWidth="1"/>
    <col min="4" max="5" width="13.6640625" style="553" customWidth="1"/>
    <col min="6" max="6" width="11.33203125" style="553" bestFit="1" customWidth="1"/>
    <col min="7" max="7" width="10.33203125" style="553" bestFit="1" customWidth="1"/>
    <col min="8" max="8" width="11.33203125" style="553" bestFit="1" customWidth="1"/>
    <col min="9" max="9" width="10.33203125" style="553" customWidth="1"/>
    <col min="10" max="10" width="11.33203125" style="553" hidden="1" customWidth="1"/>
    <col min="11" max="11" width="9.33203125" style="553" hidden="1" customWidth="1"/>
    <col min="12" max="12" width="10.33203125" style="553" hidden="1" customWidth="1"/>
    <col min="13" max="13" width="11.44140625" style="553" hidden="1" customWidth="1"/>
    <col min="14" max="14" width="10.33203125" style="553" hidden="1" customWidth="1"/>
    <col min="15" max="15" width="11.33203125" style="553" hidden="1" customWidth="1"/>
    <col min="16" max="16384" width="9.109375" style="553"/>
  </cols>
  <sheetData>
    <row r="1" spans="1:18">
      <c r="D1" s="939" t="s">
        <v>171</v>
      </c>
      <c r="E1" s="939"/>
      <c r="F1" s="939" t="s">
        <v>371</v>
      </c>
      <c r="G1" s="939"/>
    </row>
    <row r="2" spans="1:18" ht="26.4">
      <c r="D2" s="554" t="s">
        <v>423</v>
      </c>
      <c r="E2" s="554" t="s">
        <v>424</v>
      </c>
      <c r="F2" s="554" t="s">
        <v>370</v>
      </c>
      <c r="G2" s="554" t="s">
        <v>425</v>
      </c>
      <c r="H2" s="939" t="s">
        <v>284</v>
      </c>
      <c r="I2" s="939"/>
      <c r="J2" s="939"/>
      <c r="K2" s="555" t="s">
        <v>209</v>
      </c>
      <c r="L2" s="555" t="s">
        <v>210</v>
      </c>
      <c r="M2" s="940" t="s">
        <v>293</v>
      </c>
      <c r="N2" s="940"/>
      <c r="O2" s="940"/>
    </row>
    <row r="3" spans="1:18" ht="39.9" customHeight="1">
      <c r="B3" s="556">
        <v>1</v>
      </c>
      <c r="C3" s="145" t="s">
        <v>172</v>
      </c>
      <c r="D3" s="387">
        <v>113223</v>
      </c>
      <c r="E3" s="147">
        <f>+D11</f>
        <v>113112.76</v>
      </c>
      <c r="F3" s="148">
        <f t="shared" ref="F3:G6" si="0">D3</f>
        <v>113223</v>
      </c>
      <c r="G3" s="148">
        <f t="shared" si="0"/>
        <v>113113</v>
      </c>
      <c r="H3" s="148">
        <f t="shared" ref="H3:I7" si="1">F3</f>
        <v>113223</v>
      </c>
      <c r="I3" s="148">
        <f t="shared" si="1"/>
        <v>113113</v>
      </c>
      <c r="J3" s="148"/>
      <c r="K3" s="146"/>
      <c r="L3" s="146"/>
      <c r="M3" s="146"/>
    </row>
    <row r="4" spans="1:18" ht="39.9" customHeight="1">
      <c r="B4" s="556">
        <v>2</v>
      </c>
      <c r="C4" s="145" t="s">
        <v>173</v>
      </c>
      <c r="D4" s="387">
        <v>50750</v>
      </c>
      <c r="E4" s="147">
        <f>Receipts!E70</f>
        <v>50750</v>
      </c>
      <c r="F4" s="148">
        <f t="shared" si="0"/>
        <v>50750</v>
      </c>
      <c r="G4" s="148">
        <f t="shared" si="0"/>
        <v>50750</v>
      </c>
      <c r="H4" s="148">
        <f>F4</f>
        <v>50750</v>
      </c>
      <c r="I4" s="148">
        <f t="shared" si="1"/>
        <v>50750</v>
      </c>
      <c r="J4" s="148"/>
      <c r="K4" s="149">
        <f t="shared" ref="K4:K9" si="2">D4-E4</f>
        <v>0</v>
      </c>
      <c r="L4" s="149">
        <f>(E4-D4)/D4%</f>
        <v>0</v>
      </c>
      <c r="M4" s="146">
        <f>(D4+(D4*L4%))</f>
        <v>50750</v>
      </c>
    </row>
    <row r="5" spans="1:18" ht="39.9" customHeight="1">
      <c r="A5" s="559">
        <f>SUM(D4:D5)</f>
        <v>73530.37</v>
      </c>
      <c r="B5" s="556">
        <v>3</v>
      </c>
      <c r="C5" s="145" t="s">
        <v>174</v>
      </c>
      <c r="D5" s="388">
        <v>22780.37</v>
      </c>
      <c r="E5" s="147">
        <f>Receipts!N72</f>
        <v>20865.55</v>
      </c>
      <c r="F5" s="148">
        <f t="shared" si="0"/>
        <v>22780</v>
      </c>
      <c r="G5" s="148">
        <f t="shared" si="0"/>
        <v>20866</v>
      </c>
      <c r="H5" s="148">
        <f t="shared" si="1"/>
        <v>22780</v>
      </c>
      <c r="I5" s="148">
        <f t="shared" si="1"/>
        <v>20866</v>
      </c>
      <c r="J5" s="146"/>
      <c r="K5" s="149">
        <f t="shared" si="2"/>
        <v>1914.82</v>
      </c>
      <c r="L5" s="149">
        <f>(D5-E5)/D5%</f>
        <v>8.41</v>
      </c>
      <c r="M5" s="146">
        <f>(D5-(D5*L5%))</f>
        <v>20864.54</v>
      </c>
      <c r="N5" s="146"/>
      <c r="O5" s="146"/>
      <c r="P5" s="146"/>
    </row>
    <row r="6" spans="1:18" ht="39.9" customHeight="1">
      <c r="B6" s="556">
        <v>4</v>
      </c>
      <c r="C6" s="145" t="s">
        <v>175</v>
      </c>
      <c r="D6" s="390">
        <v>11042.13</v>
      </c>
      <c r="E6" s="147">
        <f>'Budget Analysis'!G23</f>
        <v>12164.52</v>
      </c>
      <c r="F6" s="148">
        <f t="shared" si="0"/>
        <v>11042</v>
      </c>
      <c r="G6" s="148">
        <f t="shared" si="0"/>
        <v>12165</v>
      </c>
      <c r="H6" s="148">
        <f t="shared" si="1"/>
        <v>11042</v>
      </c>
      <c r="I6" s="148">
        <f t="shared" si="1"/>
        <v>12165</v>
      </c>
      <c r="J6" s="148"/>
      <c r="K6" s="149">
        <f t="shared" si="2"/>
        <v>-1122.3900000000001</v>
      </c>
      <c r="L6" s="149">
        <f>(D6-E6)/D6%</f>
        <v>-10.16</v>
      </c>
      <c r="M6" s="146">
        <f>(D6-(D6*L6%))</f>
        <v>12164.01</v>
      </c>
    </row>
    <row r="7" spans="1:18" ht="39.9" customHeight="1">
      <c r="B7" s="556">
        <v>5</v>
      </c>
      <c r="C7" s="145" t="s">
        <v>176</v>
      </c>
      <c r="D7" s="146"/>
      <c r="E7" s="147"/>
      <c r="F7" s="148">
        <f t="shared" ref="F7:F12" si="3">D7</f>
        <v>0</v>
      </c>
      <c r="G7" s="148">
        <f>E7</f>
        <v>0</v>
      </c>
      <c r="H7" s="148">
        <f t="shared" si="1"/>
        <v>0</v>
      </c>
      <c r="I7" s="148">
        <f t="shared" si="1"/>
        <v>0</v>
      </c>
      <c r="J7" s="148"/>
      <c r="K7" s="149">
        <f t="shared" si="2"/>
        <v>0</v>
      </c>
      <c r="L7" s="149"/>
      <c r="M7" s="146"/>
    </row>
    <row r="8" spans="1:18" ht="39.9" customHeight="1">
      <c r="A8" s="559">
        <f>SUM(D6:D8)</f>
        <v>73640.61</v>
      </c>
      <c r="B8" s="556">
        <v>6</v>
      </c>
      <c r="C8" s="145" t="s">
        <v>177</v>
      </c>
      <c r="D8" s="387">
        <v>62598.48</v>
      </c>
      <c r="E8" s="206">
        <f>Payments!C219-'Budget Analysis'!G23</f>
        <v>31353.02</v>
      </c>
      <c r="F8" s="148">
        <f t="shared" si="3"/>
        <v>62598</v>
      </c>
      <c r="G8" s="148">
        <f>E8</f>
        <v>31353</v>
      </c>
      <c r="H8" s="148">
        <f>F8</f>
        <v>62598</v>
      </c>
      <c r="I8" s="148">
        <f>G8</f>
        <v>31353</v>
      </c>
      <c r="J8" s="146">
        <f>SUM(E6:E8)</f>
        <v>43517.54</v>
      </c>
      <c r="K8" s="149">
        <f t="shared" si="2"/>
        <v>31245.46</v>
      </c>
      <c r="L8" s="149">
        <f>K8/D8%</f>
        <v>49.91</v>
      </c>
      <c r="M8" s="146">
        <f>(D8-(D8*L8%))</f>
        <v>31355.58</v>
      </c>
      <c r="N8" s="557">
        <f>H8-I8</f>
        <v>31245</v>
      </c>
      <c r="O8" s="147">
        <f>D8*L8%</f>
        <v>31242.9</v>
      </c>
    </row>
    <row r="9" spans="1:18" ht="39.9" customHeight="1">
      <c r="A9" s="560"/>
      <c r="B9" s="556">
        <v>7</v>
      </c>
      <c r="C9" s="145" t="s">
        <v>178</v>
      </c>
      <c r="D9" s="493">
        <f>D3+D4+D5-D6-D8</f>
        <v>113112.76</v>
      </c>
      <c r="E9" s="146">
        <f>E3+E4+E5-E6-E8</f>
        <v>141210.76999999999</v>
      </c>
      <c r="F9" s="148">
        <f t="shared" si="3"/>
        <v>113113</v>
      </c>
      <c r="G9" s="148">
        <f>E9</f>
        <v>141211</v>
      </c>
      <c r="H9" s="146">
        <f>H3+H4+H5-H6-H8</f>
        <v>113113</v>
      </c>
      <c r="I9" s="148">
        <f>I3+I4+I5-I6-I8</f>
        <v>141211</v>
      </c>
      <c r="J9" s="146">
        <f>G3+G4+G5-G6-G8</f>
        <v>141211</v>
      </c>
      <c r="K9" s="149">
        <f t="shared" si="2"/>
        <v>-28098.01</v>
      </c>
      <c r="L9" s="149">
        <f>(D9-E9)/D9%</f>
        <v>-24.84</v>
      </c>
      <c r="M9" s="146">
        <f>(D9-(D9*L9%))</f>
        <v>141209.97</v>
      </c>
    </row>
    <row r="10" spans="1:18" ht="15.75" customHeight="1">
      <c r="B10" s="556"/>
      <c r="C10" s="145"/>
      <c r="D10" s="389"/>
      <c r="E10" s="147"/>
      <c r="F10" s="148">
        <f t="shared" si="3"/>
        <v>0</v>
      </c>
      <c r="H10" s="148">
        <f>H9-F9</f>
        <v>0</v>
      </c>
      <c r="I10" s="148">
        <f>I9-G9</f>
        <v>0</v>
      </c>
      <c r="J10" s="148"/>
      <c r="K10" s="146"/>
      <c r="L10" s="149"/>
      <c r="M10" s="146"/>
    </row>
    <row r="11" spans="1:18" ht="39.9" customHeight="1">
      <c r="B11" s="556">
        <v>8</v>
      </c>
      <c r="C11" s="145" t="s">
        <v>179</v>
      </c>
      <c r="D11" s="390">
        <f>Balances!C18</f>
        <v>113112.76</v>
      </c>
      <c r="E11" s="147">
        <f>Balances!C22</f>
        <v>141210.76999999999</v>
      </c>
      <c r="F11" s="148">
        <f t="shared" si="3"/>
        <v>113113</v>
      </c>
      <c r="G11" s="148">
        <f>E11</f>
        <v>141211</v>
      </c>
      <c r="H11" s="148"/>
      <c r="I11" s="148"/>
      <c r="J11" s="148"/>
      <c r="K11" s="146"/>
      <c r="L11" s="149"/>
      <c r="M11" s="146"/>
      <c r="O11" s="147"/>
      <c r="Q11" s="147"/>
      <c r="R11" s="147"/>
    </row>
    <row r="12" spans="1:18" ht="39.9" customHeight="1">
      <c r="B12" s="556">
        <v>9</v>
      </c>
      <c r="C12" s="145" t="s">
        <v>180</v>
      </c>
      <c r="D12" s="391">
        <v>222288.29</v>
      </c>
      <c r="E12" s="147">
        <f>'Asset Register'!H92</f>
        <v>222483.49</v>
      </c>
      <c r="F12" s="148">
        <f t="shared" si="3"/>
        <v>222288</v>
      </c>
      <c r="G12" s="148">
        <f>E12</f>
        <v>222483</v>
      </c>
      <c r="H12" s="146"/>
      <c r="I12" s="146"/>
      <c r="J12" s="146"/>
      <c r="K12" s="149">
        <f>D12-E12</f>
        <v>-195.2</v>
      </c>
      <c r="L12" s="149">
        <f>(D12-E12)/D12%</f>
        <v>-0.09</v>
      </c>
      <c r="M12" s="146">
        <f>(D12-(D12*L12%))</f>
        <v>222488.35</v>
      </c>
    </row>
    <row r="13" spans="1:18" ht="39.9" customHeight="1">
      <c r="B13" s="556">
        <v>10</v>
      </c>
      <c r="C13" s="145" t="s">
        <v>181</v>
      </c>
      <c r="D13" s="146"/>
      <c r="F13" s="146"/>
      <c r="G13" s="146"/>
      <c r="H13" s="146"/>
      <c r="I13" s="146"/>
      <c r="J13" s="146"/>
      <c r="K13" s="146"/>
      <c r="L13" s="146"/>
      <c r="M13" s="146"/>
    </row>
    <row r="14" spans="1:18" ht="18" customHeight="1">
      <c r="E14" s="147">
        <f>E11-E9</f>
        <v>0</v>
      </c>
      <c r="G14" s="147">
        <f>G11-G9</f>
        <v>0</v>
      </c>
    </row>
    <row r="15" spans="1:18" ht="18" customHeight="1">
      <c r="E15" s="147"/>
      <c r="F15" s="147"/>
    </row>
    <row r="16" spans="1:18" ht="18" customHeight="1">
      <c r="E16" s="147"/>
      <c r="F16" s="147"/>
      <c r="G16" s="147"/>
    </row>
    <row r="17" spans="5:6" ht="18" customHeight="1">
      <c r="E17" s="147"/>
    </row>
    <row r="18" spans="5:6" ht="18" customHeight="1"/>
    <row r="19" spans="5:6" ht="18" customHeight="1">
      <c r="F19" s="147"/>
    </row>
    <row r="20" spans="5:6" ht="18" customHeight="1"/>
    <row r="21" spans="5:6" ht="18" customHeight="1">
      <c r="F21" s="147"/>
    </row>
  </sheetData>
  <sheetProtection algorithmName="SHA-512" hashValue="b4vFMXB4IvsQEaCW61d7RG+3BNJbNJJGFZxEySl/gxn62Lvh3PIFgakTR35uH1hPOj4ZKdeomKRzRjFcjrhR8Q==" saltValue="JJth1XyC9XMc+eJ4tTeWgA==" spinCount="100000" sheet="1" objects="1" scenarios="1"/>
  <mergeCells count="4">
    <mergeCell ref="D1:E1"/>
    <mergeCell ref="M2:O2"/>
    <mergeCell ref="F1:G1"/>
    <mergeCell ref="H2:J2"/>
  </mergeCells>
  <printOptions horizontalCentered="1" verticalCentered="1"/>
  <pageMargins left="0" right="0" top="0.78740157480314965" bottom="0.59055118110236227" header="0.51181102362204722" footer="0.51181102362204722"/>
  <pageSetup paperSize="9" scale="97" fitToHeight="0" orientation="landscape" horizontalDpi="300" verticalDpi="300" r:id="rId1"/>
  <headerFooter alignWithMargins="0">
    <oddHeader xml:space="preserve">&amp;CNassington Parish Council 
Reconciliation workings&amp;RAccounts to y/e 31 March 2024
</oddHeader>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1"/>
    <pageSetUpPr fitToPage="1"/>
  </sheetPr>
  <dimension ref="A2:U133"/>
  <sheetViews>
    <sheetView showGridLines="0" zoomScaleNormal="100" workbookViewId="0">
      <pane ySplit="3" topLeftCell="A4" activePane="bottomLeft" state="frozen"/>
      <selection activeCell="E22" sqref="E22"/>
      <selection pane="bottomLeft" activeCell="D25" sqref="D25"/>
    </sheetView>
  </sheetViews>
  <sheetFormatPr defaultColWidth="9.109375" defaultRowHeight="14.4"/>
  <cols>
    <col min="1" max="1" width="1.33203125" style="213" customWidth="1"/>
    <col min="2" max="2" width="9.33203125" style="213" customWidth="1"/>
    <col min="3" max="3" width="26" style="213" customWidth="1"/>
    <col min="4" max="4" width="27.33203125" style="213" customWidth="1"/>
    <col min="5" max="5" width="13.88671875" style="213" bestFit="1" customWidth="1"/>
    <col min="6" max="6" width="38.44140625" style="214" bestFit="1" customWidth="1"/>
    <col min="7" max="7" width="11.33203125" style="215" hidden="1" customWidth="1"/>
    <col min="8" max="10" width="11.33203125" style="215" customWidth="1"/>
    <col min="11" max="11" width="11.33203125" style="216" customWidth="1"/>
    <col min="12" max="12" width="10.5546875" style="213" customWidth="1"/>
    <col min="13" max="13" width="41" style="213" customWidth="1"/>
    <col min="14" max="16" width="9.109375" style="213"/>
    <col min="17" max="17" width="26.109375" style="213" customWidth="1"/>
    <col min="18" max="18" width="21.44140625" style="213" bestFit="1" customWidth="1"/>
    <col min="19" max="19" width="15.88671875" style="213" customWidth="1"/>
    <col min="20" max="20" width="1.88671875" style="213" customWidth="1"/>
    <col min="21" max="21" width="12.109375" style="213" customWidth="1"/>
    <col min="22" max="22" width="5.33203125" style="213" customWidth="1"/>
    <col min="23" max="16384" width="9.109375" style="213"/>
  </cols>
  <sheetData>
    <row r="2" spans="2:21" ht="15" thickBot="1">
      <c r="Q2" s="954"/>
      <c r="R2" s="954"/>
    </row>
    <row r="3" spans="2:21" s="214" customFormat="1" ht="72.599999999999994" thickBot="1">
      <c r="B3" s="217" t="s">
        <v>77</v>
      </c>
      <c r="C3" s="218" t="s">
        <v>78</v>
      </c>
      <c r="D3" s="218" t="s">
        <v>79</v>
      </c>
      <c r="E3" s="218" t="s">
        <v>80</v>
      </c>
      <c r="F3" s="218" t="s">
        <v>81</v>
      </c>
      <c r="G3" s="219" t="s">
        <v>252</v>
      </c>
      <c r="H3" s="219" t="s">
        <v>368</v>
      </c>
      <c r="I3" s="219" t="s">
        <v>655</v>
      </c>
      <c r="J3" s="219" t="s">
        <v>381</v>
      </c>
      <c r="K3" s="220" t="s">
        <v>82</v>
      </c>
      <c r="L3" s="218" t="s">
        <v>83</v>
      </c>
      <c r="M3" s="221" t="s">
        <v>84</v>
      </c>
      <c r="N3" s="222"/>
      <c r="O3" s="222"/>
      <c r="P3" s="222"/>
      <c r="R3" s="223"/>
      <c r="S3" s="222"/>
      <c r="U3" s="222"/>
    </row>
    <row r="4" spans="2:21" s="224" customFormat="1" ht="18.75" customHeight="1">
      <c r="B4" s="225" t="s">
        <v>85</v>
      </c>
      <c r="C4" s="226" t="s">
        <v>86</v>
      </c>
      <c r="D4" s="227" t="s">
        <v>87</v>
      </c>
      <c r="E4" s="228">
        <v>22031</v>
      </c>
      <c r="F4" s="229" t="s">
        <v>88</v>
      </c>
      <c r="G4" s="230">
        <v>1</v>
      </c>
      <c r="H4" s="230">
        <f>G4</f>
        <v>1</v>
      </c>
      <c r="I4" s="230"/>
      <c r="J4" s="230"/>
      <c r="K4" s="231"/>
      <c r="L4" s="229"/>
      <c r="M4" s="232"/>
      <c r="N4" s="233"/>
      <c r="O4" s="233"/>
      <c r="P4" s="233"/>
      <c r="R4" s="234"/>
      <c r="S4" s="233"/>
      <c r="U4" s="235"/>
    </row>
    <row r="5" spans="2:21" s="224" customFormat="1" ht="19.5" customHeight="1">
      <c r="B5" s="236" t="s">
        <v>85</v>
      </c>
      <c r="C5" s="226" t="s">
        <v>89</v>
      </c>
      <c r="D5" s="227" t="s">
        <v>90</v>
      </c>
      <c r="E5" s="228">
        <v>25556</v>
      </c>
      <c r="F5" s="229" t="s">
        <v>91</v>
      </c>
      <c r="G5" s="230">
        <v>1</v>
      </c>
      <c r="H5" s="230">
        <f>G5</f>
        <v>1</v>
      </c>
      <c r="I5" s="230"/>
      <c r="J5" s="230"/>
      <c r="K5" s="231"/>
      <c r="L5" s="229"/>
      <c r="M5" s="232"/>
      <c r="R5" s="234"/>
      <c r="S5" s="237"/>
      <c r="U5" s="237"/>
    </row>
    <row r="6" spans="2:21" hidden="1">
      <c r="B6" s="238" t="s">
        <v>85</v>
      </c>
      <c r="C6" s="239" t="s">
        <v>92</v>
      </c>
      <c r="D6" s="239" t="s">
        <v>93</v>
      </c>
      <c r="E6" s="240" t="s">
        <v>94</v>
      </c>
      <c r="F6" s="241" t="s">
        <v>95</v>
      </c>
      <c r="G6" s="242"/>
      <c r="H6" s="242"/>
      <c r="I6" s="242"/>
      <c r="J6" s="242"/>
      <c r="K6" s="243"/>
      <c r="L6" s="241"/>
      <c r="M6" s="244"/>
      <c r="N6" s="245"/>
      <c r="O6" s="245"/>
      <c r="P6" s="245"/>
      <c r="R6" s="246"/>
      <c r="S6" s="247"/>
      <c r="U6" s="247"/>
    </row>
    <row r="7" spans="2:21" ht="28.5" customHeight="1">
      <c r="B7" s="957" t="s">
        <v>96</v>
      </c>
      <c r="C7" s="248" t="s">
        <v>97</v>
      </c>
      <c r="D7" s="959" t="s">
        <v>98</v>
      </c>
      <c r="E7" s="249"/>
      <c r="F7" s="250"/>
      <c r="G7" s="251"/>
      <c r="H7" s="251"/>
      <c r="I7" s="251"/>
      <c r="J7" s="251"/>
      <c r="K7" s="252"/>
      <c r="L7" s="250"/>
      <c r="M7" s="961" t="s">
        <v>99</v>
      </c>
      <c r="R7" s="246"/>
      <c r="S7" s="253"/>
      <c r="U7" s="247"/>
    </row>
    <row r="8" spans="2:21" ht="54.75" customHeight="1">
      <c r="B8" s="958"/>
      <c r="C8" s="254" t="s">
        <v>100</v>
      </c>
      <c r="D8" s="960"/>
      <c r="E8" s="228" t="s">
        <v>101</v>
      </c>
      <c r="F8" s="229" t="s">
        <v>91</v>
      </c>
      <c r="G8" s="256">
        <v>100450</v>
      </c>
      <c r="H8" s="230">
        <f>G8</f>
        <v>100450</v>
      </c>
      <c r="I8" s="230"/>
      <c r="J8" s="230"/>
      <c r="K8" s="678">
        <v>251000</v>
      </c>
      <c r="L8" s="255"/>
      <c r="M8" s="943"/>
      <c r="R8" s="246"/>
      <c r="S8" s="247"/>
      <c r="U8" s="257"/>
    </row>
    <row r="9" spans="2:21">
      <c r="B9" s="258"/>
      <c r="C9" s="239"/>
      <c r="D9" s="239"/>
      <c r="E9" s="240"/>
      <c r="F9" s="241"/>
      <c r="G9" s="242"/>
      <c r="H9" s="242"/>
      <c r="I9" s="242"/>
      <c r="J9" s="242"/>
      <c r="K9" s="243"/>
      <c r="L9" s="241"/>
      <c r="M9" s="244"/>
      <c r="R9" s="246"/>
      <c r="S9" s="247"/>
      <c r="U9" s="247"/>
    </row>
    <row r="10" spans="2:21" ht="19.5" customHeight="1">
      <c r="B10" s="259"/>
      <c r="C10" s="248" t="s">
        <v>102</v>
      </c>
      <c r="D10" s="260"/>
      <c r="E10" s="249"/>
      <c r="F10" s="250"/>
      <c r="G10" s="251"/>
      <c r="H10" s="251"/>
      <c r="I10" s="251"/>
      <c r="J10" s="251"/>
      <c r="K10" s="252"/>
      <c r="L10" s="250"/>
      <c r="M10" s="962" t="s">
        <v>103</v>
      </c>
      <c r="R10" s="246"/>
      <c r="S10" s="247"/>
      <c r="U10" s="247"/>
    </row>
    <row r="11" spans="2:21" ht="19.5" hidden="1" customHeight="1">
      <c r="B11" s="261" t="s">
        <v>104</v>
      </c>
      <c r="C11" s="262" t="s">
        <v>105</v>
      </c>
      <c r="D11" s="262" t="s">
        <v>106</v>
      </c>
      <c r="E11" s="263">
        <v>1960</v>
      </c>
      <c r="F11" s="264" t="s">
        <v>107</v>
      </c>
      <c r="G11" s="265">
        <v>0</v>
      </c>
      <c r="H11" s="265"/>
      <c r="I11" s="265"/>
      <c r="J11" s="265"/>
      <c r="K11" s="266"/>
      <c r="L11" s="264">
        <v>2011</v>
      </c>
      <c r="M11" s="963"/>
      <c r="R11" s="267"/>
      <c r="S11" s="247"/>
      <c r="U11" s="257"/>
    </row>
    <row r="12" spans="2:21" ht="20.25" customHeight="1">
      <c r="B12" s="268" t="s">
        <v>108</v>
      </c>
      <c r="C12" s="269" t="s">
        <v>109</v>
      </c>
      <c r="D12" s="269" t="s">
        <v>110</v>
      </c>
      <c r="E12" s="270" t="s">
        <v>111</v>
      </c>
      <c r="F12" s="271" t="s">
        <v>112</v>
      </c>
      <c r="G12" s="964">
        <v>1243</v>
      </c>
      <c r="H12" s="964">
        <f>700*4</f>
        <v>2800</v>
      </c>
      <c r="I12" s="572"/>
      <c r="J12" s="572"/>
      <c r="K12" s="272">
        <v>450</v>
      </c>
      <c r="L12" s="273"/>
      <c r="M12" s="969" t="s">
        <v>382</v>
      </c>
      <c r="O12" s="274"/>
      <c r="P12" s="274"/>
      <c r="R12" s="246"/>
      <c r="S12" s="247"/>
      <c r="U12" s="247"/>
    </row>
    <row r="13" spans="2:21">
      <c r="B13" s="268"/>
      <c r="C13" s="269"/>
      <c r="D13" s="269" t="s">
        <v>113</v>
      </c>
      <c r="E13" s="270" t="s">
        <v>114</v>
      </c>
      <c r="F13" s="271" t="s">
        <v>115</v>
      </c>
      <c r="G13" s="965"/>
      <c r="H13" s="965"/>
      <c r="I13" s="572"/>
      <c r="J13" s="572"/>
      <c r="K13" s="275">
        <v>1300</v>
      </c>
      <c r="L13" s="273"/>
      <c r="M13" s="970"/>
      <c r="O13" s="274"/>
      <c r="P13" s="274"/>
      <c r="R13" s="246"/>
      <c r="S13" s="247"/>
      <c r="U13" s="247"/>
    </row>
    <row r="14" spans="2:21">
      <c r="B14" s="268"/>
      <c r="C14" s="269"/>
      <c r="D14" s="269" t="s">
        <v>116</v>
      </c>
      <c r="E14" s="276" t="s">
        <v>117</v>
      </c>
      <c r="F14" s="271" t="s">
        <v>118</v>
      </c>
      <c r="G14" s="965"/>
      <c r="H14" s="965"/>
      <c r="I14" s="572"/>
      <c r="J14" s="572"/>
      <c r="K14" s="275">
        <v>450</v>
      </c>
      <c r="L14" s="273"/>
      <c r="M14" s="970"/>
      <c r="O14" s="274"/>
      <c r="P14" s="274"/>
      <c r="R14" s="246"/>
      <c r="S14" s="247"/>
      <c r="U14" s="247"/>
    </row>
    <row r="15" spans="2:21" ht="15" hidden="1" customHeight="1">
      <c r="B15" s="268"/>
      <c r="C15" s="269"/>
      <c r="D15" s="269" t="s">
        <v>119</v>
      </c>
      <c r="E15" s="276"/>
      <c r="F15" s="271" t="s">
        <v>120</v>
      </c>
      <c r="G15" s="965"/>
      <c r="H15" s="965"/>
      <c r="I15" s="572"/>
      <c r="J15" s="572"/>
      <c r="K15" s="275">
        <v>0</v>
      </c>
      <c r="L15" s="273"/>
      <c r="M15" s="970"/>
      <c r="O15" s="274"/>
      <c r="P15" s="274"/>
      <c r="R15" s="246"/>
      <c r="S15" s="247"/>
      <c r="U15" s="247"/>
    </row>
    <row r="16" spans="2:21" ht="15" hidden="1" customHeight="1">
      <c r="B16" s="268"/>
      <c r="C16" s="269"/>
      <c r="D16" s="269" t="s">
        <v>121</v>
      </c>
      <c r="E16" s="276"/>
      <c r="F16" s="271" t="s">
        <v>122</v>
      </c>
      <c r="G16" s="965"/>
      <c r="H16" s="965"/>
      <c r="I16" s="572"/>
      <c r="J16" s="572"/>
      <c r="K16" s="275"/>
      <c r="L16" s="273"/>
      <c r="M16" s="970"/>
      <c r="O16" s="274"/>
      <c r="P16" s="274"/>
      <c r="R16" s="246"/>
      <c r="S16" s="247"/>
      <c r="U16" s="247"/>
    </row>
    <row r="17" spans="2:21" ht="15" hidden="1" customHeight="1">
      <c r="B17" s="268"/>
      <c r="C17" s="376"/>
      <c r="D17" s="269" t="s">
        <v>123</v>
      </c>
      <c r="E17" s="276" t="s">
        <v>124</v>
      </c>
      <c r="F17" s="271" t="s">
        <v>125</v>
      </c>
      <c r="G17" s="965"/>
      <c r="H17" s="965"/>
      <c r="I17" s="570"/>
      <c r="J17" s="570"/>
      <c r="K17" s="278"/>
      <c r="L17" s="223"/>
      <c r="M17" s="970"/>
      <c r="O17" s="274"/>
      <c r="P17" s="274"/>
      <c r="R17" s="246"/>
      <c r="S17" s="247"/>
      <c r="U17" s="247"/>
    </row>
    <row r="18" spans="2:21">
      <c r="B18" s="268"/>
      <c r="C18" s="269"/>
      <c r="D18" s="269" t="s">
        <v>89</v>
      </c>
      <c r="E18" s="276" t="s">
        <v>126</v>
      </c>
      <c r="F18" s="271" t="s">
        <v>89</v>
      </c>
      <c r="G18" s="336">
        <v>451</v>
      </c>
      <c r="H18" s="965"/>
      <c r="I18" s="277"/>
      <c r="J18" s="277"/>
      <c r="K18" s="278"/>
      <c r="L18" s="223"/>
      <c r="M18" s="970"/>
      <c r="O18" s="274"/>
      <c r="P18" s="274"/>
      <c r="R18" s="246"/>
      <c r="S18" s="247"/>
      <c r="U18" s="247"/>
    </row>
    <row r="19" spans="2:21">
      <c r="B19" s="268"/>
      <c r="C19" s="968" t="s">
        <v>315</v>
      </c>
      <c r="D19" s="442" t="s">
        <v>316</v>
      </c>
      <c r="E19" s="966">
        <v>44044</v>
      </c>
      <c r="F19" s="443"/>
      <c r="G19" s="341"/>
      <c r="H19" s="341">
        <f>320+290</f>
        <v>610</v>
      </c>
      <c r="I19" s="341"/>
      <c r="J19" s="341"/>
      <c r="K19" s="444">
        <v>650</v>
      </c>
      <c r="L19" s="445"/>
      <c r="M19" s="431"/>
      <c r="O19" s="274"/>
      <c r="P19" s="274"/>
      <c r="R19" s="246"/>
      <c r="S19" s="247"/>
      <c r="U19" s="247"/>
    </row>
    <row r="20" spans="2:21">
      <c r="B20" s="268"/>
      <c r="C20" s="968"/>
      <c r="D20" s="442" t="s">
        <v>317</v>
      </c>
      <c r="E20" s="966"/>
      <c r="F20" s="443"/>
      <c r="G20" s="341"/>
      <c r="H20" s="341">
        <f>14+320</f>
        <v>334</v>
      </c>
      <c r="I20" s="341"/>
      <c r="J20" s="341"/>
      <c r="K20" s="444">
        <v>350</v>
      </c>
      <c r="L20" s="445"/>
      <c r="M20" s="431"/>
      <c r="O20" s="274"/>
      <c r="P20" s="274"/>
      <c r="R20" s="246"/>
      <c r="S20" s="247"/>
      <c r="U20" s="247"/>
    </row>
    <row r="21" spans="2:21">
      <c r="B21" s="268"/>
      <c r="C21" s="968"/>
      <c r="D21" s="442" t="s">
        <v>318</v>
      </c>
      <c r="E21" s="966"/>
      <c r="F21" s="443"/>
      <c r="G21" s="341"/>
      <c r="H21" s="341">
        <f>320+290</f>
        <v>610</v>
      </c>
      <c r="I21" s="341"/>
      <c r="J21" s="341"/>
      <c r="K21" s="444">
        <v>650</v>
      </c>
      <c r="L21" s="445"/>
      <c r="M21" s="431"/>
      <c r="O21" s="274"/>
      <c r="P21" s="274"/>
      <c r="R21" s="246"/>
      <c r="S21" s="247"/>
      <c r="U21" s="247"/>
    </row>
    <row r="22" spans="2:21">
      <c r="B22" s="268"/>
      <c r="C22" s="968"/>
      <c r="D22" s="442" t="s">
        <v>319</v>
      </c>
      <c r="E22" s="966"/>
      <c r="F22" s="443"/>
      <c r="G22" s="341"/>
      <c r="H22" s="341">
        <v>334</v>
      </c>
      <c r="I22" s="341"/>
      <c r="J22" s="341"/>
      <c r="K22" s="444">
        <v>350</v>
      </c>
      <c r="L22" s="445"/>
      <c r="M22" s="431"/>
      <c r="O22" s="274"/>
      <c r="P22" s="274"/>
      <c r="R22" s="246"/>
      <c r="S22" s="247"/>
      <c r="U22" s="247"/>
    </row>
    <row r="23" spans="2:21">
      <c r="B23" s="268"/>
      <c r="C23" s="968"/>
      <c r="D23" s="442" t="s">
        <v>320</v>
      </c>
      <c r="E23" s="966"/>
      <c r="F23" s="443"/>
      <c r="G23" s="341"/>
      <c r="H23" s="444">
        <f>320+290</f>
        <v>610</v>
      </c>
      <c r="I23" s="444"/>
      <c r="J23" s="444"/>
      <c r="K23" s="444">
        <v>650</v>
      </c>
      <c r="L23" s="445"/>
      <c r="M23" s="431"/>
      <c r="O23" s="274"/>
      <c r="P23" s="274"/>
      <c r="R23" s="246"/>
      <c r="S23" s="247"/>
      <c r="U23" s="247"/>
    </row>
    <row r="24" spans="2:21">
      <c r="B24" s="268"/>
      <c r="C24" s="968"/>
      <c r="D24" s="447" t="s">
        <v>321</v>
      </c>
      <c r="E24" s="967">
        <v>44197</v>
      </c>
      <c r="F24" s="448"/>
      <c r="G24" s="449"/>
      <c r="H24" s="450">
        <f>296+275</f>
        <v>571</v>
      </c>
      <c r="I24" s="450"/>
      <c r="J24" s="450"/>
      <c r="K24" s="450">
        <v>600</v>
      </c>
      <c r="L24" s="451"/>
      <c r="M24" s="431"/>
      <c r="O24" s="274"/>
      <c r="P24" s="274"/>
      <c r="R24" s="246"/>
      <c r="S24" s="247"/>
      <c r="U24" s="247"/>
    </row>
    <row r="25" spans="2:21">
      <c r="B25" s="268"/>
      <c r="C25" s="968"/>
      <c r="D25" s="447" t="s">
        <v>322</v>
      </c>
      <c r="E25" s="967"/>
      <c r="F25" s="448"/>
      <c r="G25" s="449"/>
      <c r="H25" s="450">
        <f>275+296</f>
        <v>571</v>
      </c>
      <c r="I25" s="450"/>
      <c r="J25" s="450"/>
      <c r="K25" s="450">
        <v>600</v>
      </c>
      <c r="L25" s="451"/>
      <c r="M25" s="431"/>
      <c r="O25" s="274"/>
      <c r="P25" s="274"/>
      <c r="R25" s="246"/>
      <c r="S25" s="247"/>
      <c r="U25" s="247"/>
    </row>
    <row r="26" spans="2:21">
      <c r="B26" s="268"/>
      <c r="C26" s="551"/>
      <c r="D26" s="447" t="s">
        <v>362</v>
      </c>
      <c r="E26" s="550">
        <v>44562</v>
      </c>
      <c r="F26" s="448" t="s">
        <v>122</v>
      </c>
      <c r="G26" s="449"/>
      <c r="H26" s="450">
        <f>Payments!M90</f>
        <v>33.08</v>
      </c>
      <c r="I26" s="450"/>
      <c r="J26" s="450"/>
      <c r="K26" s="450">
        <v>400</v>
      </c>
      <c r="L26" s="451"/>
      <c r="M26" s="431"/>
      <c r="O26" s="274"/>
      <c r="P26" s="274"/>
      <c r="R26" s="246"/>
      <c r="S26" s="247"/>
      <c r="U26" s="247"/>
    </row>
    <row r="27" spans="2:21">
      <c r="B27" s="268"/>
      <c r="C27" s="551"/>
      <c r="D27" s="447" t="s">
        <v>361</v>
      </c>
      <c r="E27" s="550">
        <v>44470</v>
      </c>
      <c r="F27" s="448" t="s">
        <v>112</v>
      </c>
      <c r="G27" s="449"/>
      <c r="H27" s="450">
        <f>Payments!M76</f>
        <v>180</v>
      </c>
      <c r="I27" s="450"/>
      <c r="J27" s="450"/>
      <c r="K27" s="450">
        <v>600</v>
      </c>
      <c r="L27" s="451"/>
      <c r="M27" s="431"/>
      <c r="O27" s="274"/>
      <c r="P27" s="274"/>
      <c r="R27" s="246"/>
      <c r="S27" s="247"/>
      <c r="U27" s="247"/>
    </row>
    <row r="28" spans="2:21">
      <c r="B28" s="261"/>
      <c r="C28" s="262"/>
      <c r="D28" s="269" t="s">
        <v>285</v>
      </c>
      <c r="E28" s="375" t="s">
        <v>281</v>
      </c>
      <c r="F28" s="271" t="s">
        <v>286</v>
      </c>
      <c r="G28" s="277"/>
      <c r="H28" s="377">
        <v>1345</v>
      </c>
      <c r="I28" s="377"/>
      <c r="J28" s="377"/>
      <c r="K28" s="279">
        <v>1500</v>
      </c>
      <c r="L28" s="280"/>
      <c r="M28" s="281"/>
      <c r="O28" s="274"/>
      <c r="P28" s="446"/>
      <c r="R28" s="267"/>
      <c r="S28" s="247"/>
      <c r="U28" s="257"/>
    </row>
    <row r="29" spans="2:21" ht="26.25" customHeight="1">
      <c r="B29" s="282"/>
      <c r="C29" s="283" t="s">
        <v>127</v>
      </c>
      <c r="D29" s="283" t="s">
        <v>128</v>
      </c>
      <c r="E29" s="284">
        <v>37387</v>
      </c>
      <c r="F29" s="561" t="s">
        <v>129</v>
      </c>
      <c r="G29" s="285">
        <v>3500</v>
      </c>
      <c r="H29" s="285">
        <f>G29</f>
        <v>3500</v>
      </c>
      <c r="I29" s="285"/>
      <c r="J29" s="285"/>
      <c r="K29" s="286">
        <v>4000</v>
      </c>
      <c r="L29" s="287"/>
      <c r="M29" s="288" t="s">
        <v>130</v>
      </c>
      <c r="R29" s="267"/>
      <c r="S29" s="247"/>
      <c r="U29" s="257"/>
    </row>
    <row r="30" spans="2:21" ht="22.5" customHeight="1">
      <c r="B30" s="368"/>
      <c r="C30" s="476" t="s">
        <v>131</v>
      </c>
      <c r="D30" s="476"/>
      <c r="E30" s="477"/>
      <c r="F30" s="478"/>
      <c r="G30" s="369">
        <v>813.54</v>
      </c>
      <c r="H30" s="369">
        <f>G30</f>
        <v>813.54</v>
      </c>
      <c r="I30" s="369"/>
      <c r="J30" s="369"/>
      <c r="K30" s="370">
        <f>H30</f>
        <v>813.54</v>
      </c>
      <c r="L30" s="371"/>
      <c r="M30" s="288"/>
      <c r="R30" s="267"/>
      <c r="S30" s="247"/>
      <c r="U30" s="257"/>
    </row>
    <row r="31" spans="2:21" ht="22.5" customHeight="1">
      <c r="B31" s="368"/>
      <c r="C31" s="476" t="s">
        <v>325</v>
      </c>
      <c r="D31" s="476" t="s">
        <v>326</v>
      </c>
      <c r="E31" s="477"/>
      <c r="F31" s="478" t="s">
        <v>363</v>
      </c>
      <c r="G31" s="369"/>
      <c r="H31" s="369">
        <v>1167</v>
      </c>
      <c r="I31" s="369"/>
      <c r="J31" s="369"/>
      <c r="K31" s="370">
        <v>1167</v>
      </c>
      <c r="L31" s="371"/>
      <c r="M31" s="367"/>
      <c r="R31" s="267"/>
      <c r="S31" s="247"/>
      <c r="U31" s="257"/>
    </row>
    <row r="32" spans="2:21" ht="22.5" customHeight="1">
      <c r="B32" s="368"/>
      <c r="C32" s="380" t="s">
        <v>364</v>
      </c>
      <c r="D32" s="380" t="s">
        <v>283</v>
      </c>
      <c r="E32" s="381"/>
      <c r="F32" s="382"/>
      <c r="G32" s="370"/>
      <c r="H32" s="379">
        <v>7160</v>
      </c>
      <c r="I32" s="562"/>
      <c r="J32" s="562"/>
      <c r="K32" s="370">
        <f t="shared" ref="K32:K37" si="0">H32</f>
        <v>7160</v>
      </c>
      <c r="L32" s="371"/>
      <c r="M32" s="367"/>
      <c r="R32" s="267"/>
      <c r="S32" s="247"/>
      <c r="U32" s="257"/>
    </row>
    <row r="33" spans="1:21" ht="22.5" customHeight="1">
      <c r="A33" s="372"/>
      <c r="B33" s="282"/>
      <c r="C33" s="283" t="s">
        <v>365</v>
      </c>
      <c r="D33" s="283" t="s">
        <v>282</v>
      </c>
      <c r="E33" s="284"/>
      <c r="F33" s="373"/>
      <c r="G33" s="286"/>
      <c r="H33" s="379">
        <v>6476</v>
      </c>
      <c r="I33" s="379"/>
      <c r="J33" s="379"/>
      <c r="K33" s="286">
        <f t="shared" si="0"/>
        <v>6476</v>
      </c>
      <c r="L33" s="374"/>
      <c r="M33" s="367"/>
      <c r="R33" s="267"/>
      <c r="S33" s="247"/>
      <c r="U33" s="257"/>
    </row>
    <row r="34" spans="1:21" ht="22.5" customHeight="1">
      <c r="B34" s="368"/>
      <c r="C34" s="380" t="s">
        <v>365</v>
      </c>
      <c r="D34" s="380" t="s">
        <v>366</v>
      </c>
      <c r="E34" s="381"/>
      <c r="F34" s="382" t="s">
        <v>367</v>
      </c>
      <c r="G34" s="370"/>
      <c r="H34" s="562">
        <v>5406</v>
      </c>
      <c r="I34" s="562"/>
      <c r="J34" s="562"/>
      <c r="K34" s="370">
        <f t="shared" si="0"/>
        <v>5406</v>
      </c>
      <c r="L34" s="465"/>
      <c r="M34" s="367"/>
      <c r="R34" s="267"/>
      <c r="S34" s="247"/>
      <c r="U34" s="257"/>
    </row>
    <row r="35" spans="1:21" ht="22.5" customHeight="1">
      <c r="B35" s="368"/>
      <c r="C35" s="380" t="s">
        <v>387</v>
      </c>
      <c r="D35" s="380" t="s">
        <v>422</v>
      </c>
      <c r="E35" s="381"/>
      <c r="F35" s="382"/>
      <c r="G35" s="370"/>
      <c r="H35" s="562">
        <v>2000</v>
      </c>
      <c r="I35" s="562"/>
      <c r="J35" s="562"/>
      <c r="K35" s="370">
        <f t="shared" si="0"/>
        <v>2000</v>
      </c>
      <c r="L35" s="465"/>
      <c r="M35" s="367"/>
      <c r="R35" s="267"/>
      <c r="S35" s="247"/>
      <c r="U35" s="257"/>
    </row>
    <row r="36" spans="1:21" ht="22.5" customHeight="1">
      <c r="B36" s="368"/>
      <c r="C36" s="380" t="s">
        <v>390</v>
      </c>
      <c r="D36" s="380"/>
      <c r="E36" s="381"/>
      <c r="F36" s="382"/>
      <c r="G36" s="370"/>
      <c r="H36" s="562">
        <v>283</v>
      </c>
      <c r="I36" s="562"/>
      <c r="J36" s="562"/>
      <c r="K36" s="370">
        <f t="shared" si="0"/>
        <v>283</v>
      </c>
      <c r="L36" s="465"/>
      <c r="M36" s="367"/>
      <c r="R36" s="267"/>
      <c r="S36" s="247"/>
      <c r="U36" s="257"/>
    </row>
    <row r="37" spans="1:21" ht="22.5" customHeight="1">
      <c r="B37" s="466"/>
      <c r="C37" s="467" t="s">
        <v>289</v>
      </c>
      <c r="D37" s="467"/>
      <c r="E37" s="468"/>
      <c r="F37" s="469"/>
      <c r="G37" s="470"/>
      <c r="H37" s="471">
        <f>11767.5-2</f>
        <v>11765.5</v>
      </c>
      <c r="I37" s="471"/>
      <c r="J37" s="471"/>
      <c r="K37" s="470">
        <f t="shared" si="0"/>
        <v>11765.5</v>
      </c>
      <c r="L37" s="465"/>
      <c r="M37" s="569">
        <f>H37/53</f>
        <v>221.99</v>
      </c>
      <c r="R37" s="267"/>
      <c r="S37" s="247"/>
      <c r="U37" s="257"/>
    </row>
    <row r="38" spans="1:21" ht="43.2">
      <c r="B38" s="452" t="s">
        <v>132</v>
      </c>
      <c r="C38" s="453" t="s">
        <v>0</v>
      </c>
      <c r="D38" s="453" t="s">
        <v>133</v>
      </c>
      <c r="E38" s="454"/>
      <c r="F38" s="455" t="s">
        <v>134</v>
      </c>
      <c r="G38" s="456">
        <f>35*340</f>
        <v>11900</v>
      </c>
      <c r="H38" s="456">
        <f>G38</f>
        <v>11900</v>
      </c>
      <c r="I38" s="456"/>
      <c r="J38" s="456"/>
      <c r="K38" s="457"/>
      <c r="L38" s="955" t="s">
        <v>323</v>
      </c>
      <c r="M38" s="458" t="s">
        <v>135</v>
      </c>
      <c r="N38" s="292"/>
      <c r="O38" s="292"/>
      <c r="P38" s="292"/>
      <c r="R38" s="246"/>
      <c r="S38" s="247"/>
      <c r="U38" s="247"/>
    </row>
    <row r="39" spans="1:21">
      <c r="B39" s="459"/>
      <c r="C39" s="460"/>
      <c r="D39" s="460" t="s">
        <v>136</v>
      </c>
      <c r="E39" s="454"/>
      <c r="F39" s="461" t="s">
        <v>137</v>
      </c>
      <c r="G39" s="462">
        <f>16*400</f>
        <v>6400</v>
      </c>
      <c r="H39" s="462">
        <f>G39</f>
        <v>6400</v>
      </c>
      <c r="I39" s="462"/>
      <c r="J39" s="462"/>
      <c r="K39" s="463"/>
      <c r="L39" s="956"/>
      <c r="M39" s="464"/>
      <c r="N39" s="292"/>
      <c r="O39" s="292"/>
      <c r="P39" s="292"/>
      <c r="R39" s="246"/>
      <c r="S39" s="247"/>
      <c r="U39" s="247"/>
    </row>
    <row r="40" spans="1:21">
      <c r="B40" s="282" t="s">
        <v>138</v>
      </c>
      <c r="C40" s="289" t="s">
        <v>139</v>
      </c>
      <c r="D40" s="289"/>
      <c r="E40" s="290"/>
      <c r="F40" s="291"/>
      <c r="G40" s="285"/>
      <c r="H40" s="285"/>
      <c r="I40" s="285"/>
      <c r="J40" s="285"/>
      <c r="K40" s="286"/>
      <c r="L40" s="287"/>
      <c r="M40" s="293"/>
      <c r="R40" s="246"/>
      <c r="S40" s="247"/>
      <c r="U40" s="247"/>
    </row>
    <row r="41" spans="1:21">
      <c r="B41" s="294"/>
      <c r="C41" s="295" t="s">
        <v>140</v>
      </c>
      <c r="D41" s="296"/>
      <c r="E41" s="297"/>
      <c r="F41" s="298"/>
      <c r="G41" s="299"/>
      <c r="H41" s="299"/>
      <c r="I41" s="299"/>
      <c r="J41" s="299"/>
      <c r="K41" s="300"/>
      <c r="L41" s="301"/>
      <c r="M41" s="302"/>
      <c r="R41" s="246"/>
      <c r="S41" s="247"/>
      <c r="U41" s="247"/>
    </row>
    <row r="42" spans="1:21" ht="21.75" customHeight="1" thickBot="1">
      <c r="B42" s="303"/>
      <c r="C42" s="304" t="s">
        <v>141</v>
      </c>
      <c r="D42" s="305" t="s">
        <v>98</v>
      </c>
      <c r="E42" s="306">
        <v>38609</v>
      </c>
      <c r="F42" s="307" t="s">
        <v>142</v>
      </c>
      <c r="G42" s="308">
        <v>1700</v>
      </c>
      <c r="H42" s="308">
        <f>G42</f>
        <v>1700</v>
      </c>
      <c r="I42" s="308"/>
      <c r="J42" s="308"/>
      <c r="K42" s="309">
        <v>1894</v>
      </c>
      <c r="L42" s="310"/>
      <c r="M42" s="311" t="s">
        <v>143</v>
      </c>
      <c r="R42" s="246"/>
      <c r="S42" s="247"/>
      <c r="U42" s="247"/>
    </row>
    <row r="43" spans="1:21">
      <c r="B43" s="224"/>
      <c r="C43" s="224"/>
      <c r="D43" s="233"/>
      <c r="E43" s="312"/>
      <c r="F43" s="313"/>
      <c r="G43" s="314"/>
      <c r="H43" s="314"/>
      <c r="I43" s="314"/>
      <c r="J43" s="314"/>
      <c r="K43" s="315"/>
      <c r="L43" s="316"/>
      <c r="M43" s="233"/>
      <c r="R43" s="246"/>
      <c r="S43" s="247"/>
      <c r="U43" s="247"/>
    </row>
    <row r="44" spans="1:21" ht="15" thickBot="1">
      <c r="B44" s="224"/>
      <c r="C44" s="224"/>
      <c r="D44" s="233"/>
      <c r="E44" s="312"/>
      <c r="F44" s="313"/>
      <c r="G44" s="314"/>
      <c r="H44" s="314"/>
      <c r="I44" s="314"/>
      <c r="J44" s="314"/>
      <c r="K44" s="315"/>
      <c r="L44" s="316"/>
      <c r="M44" s="233"/>
      <c r="R44" s="246"/>
      <c r="S44" s="247"/>
      <c r="U44" s="247"/>
    </row>
    <row r="45" spans="1:21" s="214" customFormat="1" ht="72.599999999999994" thickBot="1">
      <c r="B45" s="217" t="s">
        <v>77</v>
      </c>
      <c r="C45" s="218" t="s">
        <v>78</v>
      </c>
      <c r="D45" s="218" t="s">
        <v>79</v>
      </c>
      <c r="E45" s="218" t="s">
        <v>80</v>
      </c>
      <c r="F45" s="218" t="s">
        <v>81</v>
      </c>
      <c r="G45" s="219" t="s">
        <v>252</v>
      </c>
      <c r="H45" s="219" t="str">
        <f>H3</f>
        <v>Asset value</v>
      </c>
      <c r="I45" s="219"/>
      <c r="J45" s="219"/>
      <c r="K45" s="220" t="s">
        <v>82</v>
      </c>
      <c r="L45" s="218" t="s">
        <v>83</v>
      </c>
      <c r="M45" s="221" t="s">
        <v>84</v>
      </c>
      <c r="N45" s="222"/>
      <c r="O45" s="222"/>
      <c r="P45" s="222"/>
      <c r="R45" s="223"/>
      <c r="S45" s="222"/>
      <c r="U45" s="222"/>
    </row>
    <row r="46" spans="1:21" ht="12.9" customHeight="1">
      <c r="B46" s="317"/>
      <c r="C46" s="318" t="s">
        <v>144</v>
      </c>
      <c r="D46" s="319"/>
      <c r="E46" s="320"/>
      <c r="F46" s="434" t="s">
        <v>304</v>
      </c>
      <c r="G46" s="321"/>
      <c r="H46" s="321"/>
      <c r="I46" s="321"/>
      <c r="J46" s="321"/>
      <c r="K46" s="322"/>
      <c r="L46" s="323"/>
      <c r="M46" s="324"/>
      <c r="R46" s="246"/>
      <c r="S46" s="247"/>
      <c r="U46" s="247"/>
    </row>
    <row r="47" spans="1:21" ht="12.9" customHeight="1">
      <c r="B47" s="325"/>
      <c r="C47" s="329" t="s">
        <v>145</v>
      </c>
      <c r="D47" s="330"/>
      <c r="E47" s="331">
        <v>39211</v>
      </c>
      <c r="F47" s="435"/>
      <c r="G47" s="332">
        <v>4200</v>
      </c>
      <c r="H47" s="332">
        <f>G47</f>
        <v>4200</v>
      </c>
      <c r="I47" s="332"/>
      <c r="J47" s="332"/>
      <c r="K47" s="333"/>
      <c r="L47" s="334"/>
      <c r="M47" s="328"/>
      <c r="R47" s="267"/>
      <c r="S47" s="247"/>
      <c r="U47" s="247"/>
    </row>
    <row r="48" spans="1:21" ht="12.9" customHeight="1">
      <c r="B48" s="325"/>
      <c r="C48" s="335" t="s">
        <v>146</v>
      </c>
      <c r="D48" s="326"/>
      <c r="E48" s="327" t="s">
        <v>147</v>
      </c>
      <c r="F48" s="435"/>
      <c r="G48" s="336">
        <v>672</v>
      </c>
      <c r="H48" s="337">
        <f>G48</f>
        <v>672</v>
      </c>
      <c r="I48" s="337"/>
      <c r="J48" s="337"/>
      <c r="K48" s="338"/>
      <c r="L48" s="334"/>
      <c r="M48" s="328"/>
      <c r="R48" s="246"/>
      <c r="S48" s="247"/>
      <c r="U48" s="247"/>
    </row>
    <row r="49" spans="2:21" ht="12.9" customHeight="1">
      <c r="B49" s="325"/>
      <c r="C49" s="329" t="s">
        <v>148</v>
      </c>
      <c r="D49" s="339"/>
      <c r="E49" s="340" t="s">
        <v>149</v>
      </c>
      <c r="F49" s="435"/>
      <c r="G49" s="341">
        <v>907</v>
      </c>
      <c r="H49" s="332">
        <f>G49</f>
        <v>907</v>
      </c>
      <c r="I49" s="332"/>
      <c r="J49" s="332"/>
      <c r="K49" s="338"/>
      <c r="L49" s="334"/>
      <c r="M49" s="328"/>
      <c r="R49" s="246"/>
      <c r="S49" s="247"/>
      <c r="U49" s="247"/>
    </row>
    <row r="50" spans="2:21" ht="12.9" customHeight="1">
      <c r="B50" s="325"/>
      <c r="C50" s="335" t="s">
        <v>150</v>
      </c>
      <c r="D50" s="326"/>
      <c r="E50" s="342" t="s">
        <v>151</v>
      </c>
      <c r="F50" s="435"/>
      <c r="G50" s="336">
        <v>0</v>
      </c>
      <c r="H50" s="337">
        <f>G50</f>
        <v>0</v>
      </c>
      <c r="I50" s="337"/>
      <c r="J50" s="337"/>
      <c r="K50" s="338"/>
      <c r="L50" s="334"/>
      <c r="M50" s="328"/>
      <c r="R50" s="246"/>
      <c r="S50" s="247"/>
      <c r="U50" s="247"/>
    </row>
    <row r="51" spans="2:21" ht="12.9" customHeight="1">
      <c r="B51" s="325"/>
      <c r="C51" s="329" t="s">
        <v>152</v>
      </c>
      <c r="D51" s="339"/>
      <c r="E51" s="331"/>
      <c r="F51" s="435"/>
      <c r="G51" s="341">
        <v>1362</v>
      </c>
      <c r="H51" s="332">
        <f>G51</f>
        <v>1362</v>
      </c>
      <c r="I51" s="332"/>
      <c r="J51" s="332"/>
      <c r="K51" s="338"/>
      <c r="L51" s="334"/>
      <c r="M51" s="328"/>
      <c r="R51" s="246"/>
      <c r="S51" s="247"/>
      <c r="U51" s="247"/>
    </row>
    <row r="52" spans="2:21" ht="12.9" hidden="1" customHeight="1">
      <c r="B52" s="325"/>
      <c r="C52" s="335" t="s">
        <v>153</v>
      </c>
      <c r="D52" s="326"/>
      <c r="E52" s="941" t="s">
        <v>154</v>
      </c>
      <c r="F52" s="435"/>
      <c r="G52" s="343">
        <v>4469</v>
      </c>
      <c r="H52" s="336">
        <v>0</v>
      </c>
      <c r="I52" s="336"/>
      <c r="J52" s="336"/>
      <c r="K52" s="344"/>
      <c r="L52" s="334" t="s">
        <v>251</v>
      </c>
      <c r="M52" s="328"/>
      <c r="R52" s="246"/>
      <c r="S52" s="247"/>
      <c r="U52" s="247"/>
    </row>
    <row r="53" spans="2:21" ht="12.9" hidden="1" customHeight="1">
      <c r="B53" s="325"/>
      <c r="C53" s="329" t="s">
        <v>155</v>
      </c>
      <c r="D53" s="339"/>
      <c r="E53" s="941"/>
      <c r="F53" s="435"/>
      <c r="G53" s="345">
        <v>1173</v>
      </c>
      <c r="H53" s="341">
        <v>0</v>
      </c>
      <c r="I53" s="341"/>
      <c r="J53" s="341"/>
      <c r="K53" s="344"/>
      <c r="L53" s="334" t="s">
        <v>251</v>
      </c>
      <c r="M53" s="328"/>
      <c r="R53" s="246"/>
      <c r="S53" s="247"/>
      <c r="U53" s="247"/>
    </row>
    <row r="54" spans="2:21" ht="12.9" hidden="1" customHeight="1">
      <c r="B54" s="325"/>
      <c r="C54" s="335" t="s">
        <v>156</v>
      </c>
      <c r="D54" s="326"/>
      <c r="E54" s="941"/>
      <c r="F54" s="435"/>
      <c r="G54" s="343">
        <v>602</v>
      </c>
      <c r="H54" s="336">
        <v>0</v>
      </c>
      <c r="I54" s="336"/>
      <c r="J54" s="336"/>
      <c r="K54" s="344"/>
      <c r="L54" s="334" t="s">
        <v>251</v>
      </c>
      <c r="M54" s="328"/>
      <c r="R54" s="246"/>
      <c r="S54" s="247"/>
      <c r="U54" s="247"/>
    </row>
    <row r="55" spans="2:21" ht="12.9" hidden="1" customHeight="1">
      <c r="B55" s="325"/>
      <c r="C55" s="329" t="s">
        <v>157</v>
      </c>
      <c r="D55" s="339"/>
      <c r="E55" s="941"/>
      <c r="F55" s="435"/>
      <c r="G55" s="345"/>
      <c r="H55" s="345"/>
      <c r="I55" s="345"/>
      <c r="J55" s="345"/>
      <c r="K55" s="344"/>
      <c r="L55" s="334"/>
      <c r="M55" s="328" t="s">
        <v>158</v>
      </c>
      <c r="R55" s="246"/>
      <c r="S55" s="247"/>
      <c r="U55" s="247"/>
    </row>
    <row r="56" spans="2:21" ht="12.9" customHeight="1">
      <c r="B56" s="325"/>
      <c r="C56" s="335" t="s">
        <v>159</v>
      </c>
      <c r="D56" s="326"/>
      <c r="E56" s="941"/>
      <c r="F56" s="435"/>
      <c r="G56" s="343">
        <v>722</v>
      </c>
      <c r="H56" s="343">
        <f>G56</f>
        <v>722</v>
      </c>
      <c r="I56" s="343"/>
      <c r="J56" s="343"/>
      <c r="K56" s="344"/>
      <c r="L56" s="334"/>
      <c r="M56" s="328"/>
      <c r="R56" s="246"/>
      <c r="S56" s="247"/>
      <c r="U56" s="247"/>
    </row>
    <row r="57" spans="2:21" ht="12.9" hidden="1" customHeight="1">
      <c r="B57" s="325"/>
      <c r="C57" s="329" t="s">
        <v>160</v>
      </c>
      <c r="D57" s="339"/>
      <c r="E57" s="941"/>
      <c r="F57" s="435"/>
      <c r="G57" s="345">
        <v>4370</v>
      </c>
      <c r="H57" s="341">
        <v>0</v>
      </c>
      <c r="I57" s="341"/>
      <c r="J57" s="341"/>
      <c r="K57" s="344"/>
      <c r="L57" s="334" t="s">
        <v>251</v>
      </c>
      <c r="M57" s="346"/>
      <c r="R57" s="246"/>
      <c r="S57" s="247"/>
      <c r="U57" s="247"/>
    </row>
    <row r="58" spans="2:21" ht="12.9" customHeight="1">
      <c r="B58" s="325"/>
      <c r="C58" s="335" t="s">
        <v>161</v>
      </c>
      <c r="D58" s="326"/>
      <c r="E58" s="327">
        <v>38792</v>
      </c>
      <c r="F58" s="435"/>
      <c r="G58" s="343">
        <v>1468</v>
      </c>
      <c r="H58" s="343">
        <f>G58</f>
        <v>1468</v>
      </c>
      <c r="I58" s="343"/>
      <c r="J58" s="343"/>
      <c r="K58" s="344"/>
      <c r="L58" s="334"/>
      <c r="M58" s="346"/>
      <c r="R58" s="246"/>
      <c r="S58" s="247"/>
      <c r="U58" s="247"/>
    </row>
    <row r="59" spans="2:21" ht="12.9" customHeight="1">
      <c r="B59" s="325"/>
      <c r="C59" s="329" t="s">
        <v>76</v>
      </c>
      <c r="D59" s="339"/>
      <c r="E59" s="327"/>
      <c r="F59" s="435"/>
      <c r="G59" s="345">
        <v>5400</v>
      </c>
      <c r="H59" s="345">
        <f>G59</f>
        <v>5400</v>
      </c>
      <c r="I59" s="345"/>
      <c r="J59" s="345"/>
      <c r="K59" s="344"/>
      <c r="L59" s="334"/>
      <c r="M59" s="346"/>
      <c r="R59" s="246"/>
      <c r="S59" s="247"/>
      <c r="U59" s="247"/>
    </row>
    <row r="60" spans="2:21" ht="12.9" customHeight="1">
      <c r="B60" s="325"/>
      <c r="C60" s="335" t="s">
        <v>253</v>
      </c>
      <c r="D60" s="326" t="s">
        <v>254</v>
      </c>
      <c r="E60" s="347">
        <v>42644</v>
      </c>
      <c r="F60" s="435"/>
      <c r="G60" s="343"/>
      <c r="H60" s="343">
        <v>2853</v>
      </c>
      <c r="I60" s="343"/>
      <c r="J60" s="343"/>
      <c r="K60" s="344"/>
      <c r="L60" s="334"/>
      <c r="M60" s="346"/>
      <c r="R60" s="246"/>
      <c r="S60" s="247"/>
      <c r="U60" s="247"/>
    </row>
    <row r="61" spans="2:21" ht="12.9" customHeight="1">
      <c r="B61" s="325"/>
      <c r="C61" s="329" t="s">
        <v>255</v>
      </c>
      <c r="D61" s="339" t="s">
        <v>256</v>
      </c>
      <c r="E61" s="348">
        <v>42644</v>
      </c>
      <c r="F61" s="435"/>
      <c r="G61" s="345"/>
      <c r="H61" s="345">
        <v>1621</v>
      </c>
      <c r="I61" s="345"/>
      <c r="J61" s="345"/>
      <c r="K61" s="344"/>
      <c r="L61" s="334"/>
      <c r="M61" s="346"/>
      <c r="R61" s="246"/>
      <c r="S61" s="247"/>
      <c r="U61" s="247"/>
    </row>
    <row r="62" spans="2:21" ht="12.9" customHeight="1">
      <c r="B62" s="325"/>
      <c r="C62" s="335" t="s">
        <v>257</v>
      </c>
      <c r="D62" s="326" t="s">
        <v>258</v>
      </c>
      <c r="E62" s="347">
        <v>42644</v>
      </c>
      <c r="F62" s="435"/>
      <c r="G62" s="343"/>
      <c r="H62" s="343">
        <v>7620</v>
      </c>
      <c r="I62" s="343"/>
      <c r="J62" s="343"/>
      <c r="K62" s="344"/>
      <c r="L62" s="334"/>
      <c r="M62" s="346"/>
      <c r="R62" s="246"/>
      <c r="S62" s="247"/>
      <c r="U62" s="247"/>
    </row>
    <row r="63" spans="2:21" ht="12.9" customHeight="1">
      <c r="B63" s="325"/>
      <c r="C63" s="329" t="s">
        <v>260</v>
      </c>
      <c r="D63" s="339" t="s">
        <v>259</v>
      </c>
      <c r="E63" s="348">
        <v>42644</v>
      </c>
      <c r="F63" s="435"/>
      <c r="G63" s="345"/>
      <c r="H63" s="345">
        <v>4366</v>
      </c>
      <c r="I63" s="345"/>
      <c r="J63" s="345"/>
      <c r="K63" s="344"/>
      <c r="L63" s="334"/>
      <c r="M63" s="346"/>
      <c r="R63" s="246"/>
      <c r="S63" s="247"/>
      <c r="U63" s="247"/>
    </row>
    <row r="64" spans="2:21" ht="12.9" customHeight="1">
      <c r="B64" s="325"/>
      <c r="C64" s="335" t="s">
        <v>261</v>
      </c>
      <c r="D64" s="326" t="s">
        <v>262</v>
      </c>
      <c r="E64" s="347">
        <v>42644</v>
      </c>
      <c r="F64" s="435"/>
      <c r="G64" s="343"/>
      <c r="H64" s="343">
        <v>5395</v>
      </c>
      <c r="I64" s="343"/>
      <c r="J64" s="343"/>
      <c r="K64" s="344"/>
      <c r="L64" s="334"/>
      <c r="M64" s="346"/>
      <c r="R64" s="246"/>
      <c r="S64" s="247"/>
      <c r="U64" s="247"/>
    </row>
    <row r="65" spans="2:21" ht="12.9" customHeight="1">
      <c r="B65" s="325"/>
      <c r="C65" s="329" t="s">
        <v>263</v>
      </c>
      <c r="D65" s="339" t="s">
        <v>264</v>
      </c>
      <c r="E65" s="348">
        <v>42644</v>
      </c>
      <c r="F65" s="435"/>
      <c r="G65" s="345"/>
      <c r="H65" s="345">
        <v>737</v>
      </c>
      <c r="I65" s="345"/>
      <c r="J65" s="345"/>
      <c r="K65" s="344"/>
      <c r="L65" s="334"/>
      <c r="M65" s="346"/>
      <c r="R65" s="246"/>
      <c r="S65" s="247"/>
      <c r="U65" s="247"/>
    </row>
    <row r="66" spans="2:21" ht="12.9" customHeight="1">
      <c r="B66" s="325"/>
      <c r="C66" s="335" t="s">
        <v>279</v>
      </c>
      <c r="D66" s="326" t="s">
        <v>280</v>
      </c>
      <c r="E66" s="347">
        <v>43525</v>
      </c>
      <c r="F66" s="435"/>
      <c r="G66" s="343"/>
      <c r="H66" s="378">
        <v>5615</v>
      </c>
      <c r="I66" s="378"/>
      <c r="J66" s="378"/>
      <c r="K66" s="344"/>
      <c r="L66" s="334"/>
      <c r="M66" s="346" t="s">
        <v>324</v>
      </c>
      <c r="R66" s="246"/>
      <c r="S66" s="247"/>
      <c r="U66" s="247"/>
    </row>
    <row r="67" spans="2:21" ht="12.9" customHeight="1">
      <c r="B67" s="432"/>
      <c r="C67" s="474" t="s">
        <v>216</v>
      </c>
      <c r="D67" s="433"/>
      <c r="E67" s="347"/>
      <c r="F67" s="435"/>
      <c r="G67" s="345">
        <v>550</v>
      </c>
      <c r="H67" s="345">
        <f>G67</f>
        <v>550</v>
      </c>
      <c r="I67" s="345"/>
      <c r="J67" s="345"/>
      <c r="K67" s="344">
        <f>SUM(H47:H67)</f>
        <v>43488</v>
      </c>
      <c r="L67" s="334"/>
      <c r="M67" s="346"/>
      <c r="R67" s="246"/>
      <c r="S67" s="247"/>
      <c r="U67" s="247"/>
    </row>
    <row r="68" spans="2:21" ht="12.9" customHeight="1">
      <c r="B68" s="946" t="s">
        <v>306</v>
      </c>
      <c r="C68" s="472" t="s">
        <v>305</v>
      </c>
      <c r="D68" s="950" t="s">
        <v>303</v>
      </c>
      <c r="E68" s="948">
        <v>44256</v>
      </c>
      <c r="F68" s="952" t="s">
        <v>308</v>
      </c>
      <c r="G68" s="436"/>
      <c r="H68" s="475">
        <f>1011.45+170+30+65.64+45</f>
        <v>1322.09</v>
      </c>
      <c r="I68" s="436"/>
      <c r="J68" s="436"/>
      <c r="K68" s="345"/>
      <c r="L68" s="437"/>
      <c r="M68" s="438"/>
      <c r="R68" s="246"/>
      <c r="S68" s="247"/>
      <c r="U68" s="247"/>
    </row>
    <row r="69" spans="2:21" ht="12.9" customHeight="1">
      <c r="B69" s="946"/>
      <c r="C69" s="472" t="s">
        <v>307</v>
      </c>
      <c r="D69" s="950"/>
      <c r="E69" s="948"/>
      <c r="F69" s="952"/>
      <c r="G69" s="436"/>
      <c r="H69" s="475">
        <f>1060.9+170+30+65.65+45</f>
        <v>1371.55</v>
      </c>
      <c r="I69" s="436"/>
      <c r="J69" s="436"/>
      <c r="K69" s="345"/>
      <c r="L69" s="437"/>
      <c r="M69" s="438"/>
      <c r="R69" s="246"/>
      <c r="S69" s="247"/>
      <c r="U69" s="247"/>
    </row>
    <row r="70" spans="2:21" ht="12.9" customHeight="1">
      <c r="B70" s="946"/>
      <c r="C70" s="472" t="s">
        <v>309</v>
      </c>
      <c r="D70" s="950"/>
      <c r="E70" s="948"/>
      <c r="F70" s="952"/>
      <c r="G70" s="436"/>
      <c r="H70" s="475">
        <f>885.58+170+65.64+30+45</f>
        <v>1196.22</v>
      </c>
      <c r="I70" s="436"/>
      <c r="J70" s="436"/>
      <c r="K70" s="345"/>
      <c r="L70" s="437"/>
      <c r="M70" s="438"/>
      <c r="R70" s="246"/>
      <c r="S70" s="247"/>
      <c r="U70" s="247"/>
    </row>
    <row r="71" spans="2:21" ht="12.9" customHeight="1">
      <c r="B71" s="946"/>
      <c r="C71" s="472" t="s">
        <v>310</v>
      </c>
      <c r="D71" s="950"/>
      <c r="E71" s="948"/>
      <c r="F71" s="952"/>
      <c r="G71" s="436"/>
      <c r="H71" s="475">
        <f>2027.4+170+64.64+30+45</f>
        <v>2337.04</v>
      </c>
      <c r="I71" s="436"/>
      <c r="J71" s="436"/>
      <c r="K71" s="345"/>
      <c r="L71" s="437"/>
      <c r="M71" s="438"/>
      <c r="R71" s="246"/>
      <c r="S71" s="247"/>
      <c r="U71" s="247"/>
    </row>
    <row r="72" spans="2:21" ht="12.9" customHeight="1">
      <c r="B72" s="946"/>
      <c r="C72" s="472" t="s">
        <v>311</v>
      </c>
      <c r="D72" s="950"/>
      <c r="E72" s="948"/>
      <c r="F72" s="952"/>
      <c r="G72" s="436"/>
      <c r="H72" s="475">
        <f>678.8+170+60+131.28+90</f>
        <v>1130.08</v>
      </c>
      <c r="I72" s="436"/>
      <c r="J72" s="436"/>
      <c r="K72" s="345"/>
      <c r="L72" s="437"/>
      <c r="M72" s="438"/>
      <c r="R72" s="246"/>
      <c r="S72" s="247"/>
      <c r="U72" s="247"/>
    </row>
    <row r="73" spans="2:21" ht="12.9" customHeight="1">
      <c r="B73" s="946"/>
      <c r="C73" s="472" t="s">
        <v>312</v>
      </c>
      <c r="D73" s="950"/>
      <c r="E73" s="948"/>
      <c r="F73" s="952"/>
      <c r="G73" s="436"/>
      <c r="H73" s="475">
        <f>678.8+170+30+65.64+45</f>
        <v>989.44</v>
      </c>
      <c r="I73" s="436"/>
      <c r="J73" s="436"/>
      <c r="K73" s="345"/>
      <c r="L73" s="437"/>
      <c r="M73" s="438"/>
      <c r="R73" s="246"/>
      <c r="S73" s="247"/>
      <c r="U73" s="247"/>
    </row>
    <row r="74" spans="2:21" ht="12.9" customHeight="1">
      <c r="B74" s="946"/>
      <c r="C74" s="472" t="s">
        <v>313</v>
      </c>
      <c r="D74" s="950"/>
      <c r="E74" s="948"/>
      <c r="F74" s="952"/>
      <c r="G74" s="436"/>
      <c r="H74" s="475">
        <f>1044.45+170+60+131.28+90</f>
        <v>1495.73</v>
      </c>
      <c r="I74" s="436"/>
      <c r="J74" s="436"/>
      <c r="K74" s="345"/>
      <c r="L74" s="437"/>
      <c r="M74" s="438"/>
      <c r="R74" s="246"/>
      <c r="S74" s="247"/>
      <c r="U74" s="247"/>
    </row>
    <row r="75" spans="2:21">
      <c r="B75" s="947"/>
      <c r="C75" s="473" t="s">
        <v>314</v>
      </c>
      <c r="D75" s="951"/>
      <c r="E75" s="949"/>
      <c r="F75" s="953"/>
      <c r="G75" s="439"/>
      <c r="H75" s="439">
        <f>234+664.32+103+78+90</f>
        <v>1169.32</v>
      </c>
      <c r="I75" s="439"/>
      <c r="J75" s="439"/>
      <c r="K75" s="439">
        <f>SUM(H68:H75)</f>
        <v>11011.47</v>
      </c>
      <c r="L75" s="440"/>
      <c r="M75" s="441"/>
      <c r="R75" s="246"/>
      <c r="S75" s="247"/>
      <c r="U75" s="247"/>
    </row>
    <row r="76" spans="2:21">
      <c r="B76" s="259"/>
      <c r="C76" s="248" t="s">
        <v>162</v>
      </c>
      <c r="D76" s="349"/>
      <c r="E76" s="350"/>
      <c r="G76" s="242"/>
      <c r="H76" s="242"/>
      <c r="I76" s="242"/>
      <c r="J76" s="242"/>
      <c r="K76" s="243"/>
      <c r="L76" s="241"/>
      <c r="M76" s="244"/>
      <c r="R76" s="267"/>
      <c r="S76" s="247"/>
      <c r="U76" s="247"/>
    </row>
    <row r="77" spans="2:21">
      <c r="B77" s="238"/>
      <c r="C77" s="239" t="s">
        <v>163</v>
      </c>
      <c r="D77" s="351"/>
      <c r="E77" s="352"/>
      <c r="G77" s="242"/>
      <c r="H77" s="242"/>
      <c r="I77" s="242"/>
      <c r="J77" s="242"/>
      <c r="K77" s="243"/>
      <c r="L77" s="241"/>
      <c r="M77" s="244" t="s">
        <v>164</v>
      </c>
      <c r="R77" s="267"/>
      <c r="S77" s="247"/>
      <c r="U77" s="247"/>
    </row>
    <row r="78" spans="2:21">
      <c r="B78" s="238"/>
      <c r="C78" s="239" t="s">
        <v>165</v>
      </c>
      <c r="D78" s="349">
        <v>39646</v>
      </c>
      <c r="E78" s="352"/>
      <c r="G78" s="242">
        <v>48</v>
      </c>
      <c r="H78" s="242">
        <v>48</v>
      </c>
      <c r="I78" s="242"/>
      <c r="J78" s="242"/>
      <c r="K78" s="243"/>
      <c r="L78" s="241"/>
      <c r="M78" s="244"/>
      <c r="R78" s="267"/>
      <c r="S78" s="247"/>
      <c r="U78" s="247"/>
    </row>
    <row r="79" spans="2:21">
      <c r="B79" s="238"/>
      <c r="C79" s="239" t="s">
        <v>166</v>
      </c>
      <c r="D79" s="349">
        <v>39646</v>
      </c>
      <c r="E79" s="352"/>
      <c r="G79" s="242">
        <v>30</v>
      </c>
      <c r="H79" s="242">
        <v>0</v>
      </c>
      <c r="I79" s="242"/>
      <c r="J79" s="242"/>
      <c r="K79" s="243"/>
      <c r="L79" s="241" t="s">
        <v>265</v>
      </c>
      <c r="M79" s="244"/>
      <c r="R79" s="267"/>
      <c r="S79" s="247"/>
      <c r="U79" s="247"/>
    </row>
    <row r="80" spans="2:21" ht="15.75" customHeight="1">
      <c r="B80" s="238"/>
      <c r="C80" s="239" t="s">
        <v>167</v>
      </c>
      <c r="D80" s="349">
        <v>39646</v>
      </c>
      <c r="E80" s="352"/>
      <c r="G80" s="242">
        <v>21</v>
      </c>
      <c r="H80" s="242"/>
      <c r="I80" s="242"/>
      <c r="J80" s="242"/>
      <c r="K80" s="243"/>
      <c r="L80" s="241"/>
      <c r="M80" s="244"/>
      <c r="R80" s="246"/>
      <c r="S80" s="247"/>
      <c r="U80" s="247"/>
    </row>
    <row r="81" spans="2:21">
      <c r="B81" s="238"/>
      <c r="C81" s="239" t="s">
        <v>168</v>
      </c>
      <c r="D81" s="349">
        <v>37823</v>
      </c>
      <c r="E81" s="350"/>
      <c r="G81" s="242">
        <v>343</v>
      </c>
      <c r="H81" s="242">
        <v>343</v>
      </c>
      <c r="I81" s="242"/>
      <c r="J81" s="242"/>
      <c r="K81" s="243"/>
      <c r="L81" s="241"/>
      <c r="M81" s="942"/>
      <c r="R81" s="246"/>
      <c r="S81" s="247"/>
      <c r="U81" s="247"/>
    </row>
    <row r="82" spans="2:21">
      <c r="B82" s="353"/>
      <c r="C82" s="354" t="s">
        <v>169</v>
      </c>
      <c r="D82" s="355">
        <v>38460</v>
      </c>
      <c r="E82" s="356"/>
      <c r="F82" s="357"/>
      <c r="G82" s="242">
        <v>400</v>
      </c>
      <c r="H82" s="242">
        <v>400</v>
      </c>
      <c r="I82" s="242"/>
      <c r="J82" s="242"/>
      <c r="K82" s="358">
        <v>799</v>
      </c>
      <c r="L82" s="255"/>
      <c r="M82" s="943"/>
      <c r="R82" s="246"/>
      <c r="S82" s="247"/>
      <c r="U82" s="247"/>
    </row>
    <row r="83" spans="2:21">
      <c r="B83" s="294"/>
      <c r="C83" s="295" t="s">
        <v>170</v>
      </c>
      <c r="D83" s="359"/>
      <c r="E83" s="360"/>
      <c r="F83" s="361"/>
      <c r="G83" s="251"/>
      <c r="H83" s="251"/>
      <c r="I83" s="251"/>
      <c r="J83" s="251"/>
      <c r="K83" s="300"/>
      <c r="L83" s="362"/>
      <c r="M83" s="302"/>
      <c r="R83" s="267"/>
      <c r="S83" s="247"/>
      <c r="U83" s="247"/>
    </row>
    <row r="84" spans="2:21">
      <c r="B84" s="432"/>
      <c r="C84" s="488"/>
      <c r="D84" s="487"/>
      <c r="E84" s="480"/>
      <c r="F84" s="316"/>
      <c r="G84" s="278"/>
      <c r="H84" s="278"/>
      <c r="I84" s="278"/>
      <c r="J84" s="278"/>
      <c r="K84" s="944"/>
      <c r="L84" s="269"/>
      <c r="M84" s="481"/>
      <c r="R84" s="267"/>
      <c r="S84" s="247"/>
      <c r="U84" s="247"/>
    </row>
    <row r="85" spans="2:21">
      <c r="B85" s="325"/>
      <c r="C85" s="488" t="s">
        <v>327</v>
      </c>
      <c r="D85" s="479"/>
      <c r="E85" s="480"/>
      <c r="F85" s="316"/>
      <c r="G85" s="278"/>
      <c r="H85" s="278"/>
      <c r="I85" s="278"/>
      <c r="J85" s="278"/>
      <c r="K85" s="944"/>
      <c r="L85" s="269"/>
      <c r="M85" s="481"/>
      <c r="R85" s="246"/>
      <c r="S85" s="247"/>
      <c r="U85" s="247"/>
    </row>
    <row r="86" spans="2:21">
      <c r="B86" s="325"/>
      <c r="C86" s="335" t="s">
        <v>328</v>
      </c>
      <c r="D86" s="479"/>
      <c r="E86" s="480"/>
      <c r="F86" s="316"/>
      <c r="G86" s="278"/>
      <c r="H86" s="278">
        <v>53</v>
      </c>
      <c r="I86" s="278"/>
      <c r="J86" s="278"/>
      <c r="K86" s="944"/>
      <c r="L86" s="269"/>
      <c r="M86" s="481"/>
      <c r="R86" s="246"/>
      <c r="S86" s="247"/>
      <c r="U86" s="247"/>
    </row>
    <row r="87" spans="2:21">
      <c r="B87" s="325"/>
      <c r="C87" s="335" t="s">
        <v>329</v>
      </c>
      <c r="D87" s="479"/>
      <c r="E87" s="480"/>
      <c r="F87" s="316"/>
      <c r="G87" s="278"/>
      <c r="H87" s="278">
        <v>18.95</v>
      </c>
      <c r="I87" s="278"/>
      <c r="J87" s="278"/>
      <c r="K87" s="944"/>
      <c r="L87" s="269"/>
      <c r="M87" s="481"/>
      <c r="R87" s="246"/>
      <c r="S87" s="247"/>
      <c r="U87" s="247"/>
    </row>
    <row r="88" spans="2:21">
      <c r="B88" s="325"/>
      <c r="C88" s="335" t="s">
        <v>330</v>
      </c>
      <c r="D88" s="479"/>
      <c r="E88" s="480"/>
      <c r="F88" s="316"/>
      <c r="G88" s="278"/>
      <c r="H88" s="278">
        <v>9.99</v>
      </c>
      <c r="I88" s="278"/>
      <c r="J88" s="278"/>
      <c r="K88" s="944"/>
      <c r="L88" s="269"/>
      <c r="M88" s="481"/>
      <c r="R88" s="246"/>
      <c r="S88" s="247"/>
      <c r="U88" s="247"/>
    </row>
    <row r="89" spans="2:21">
      <c r="B89" s="325"/>
      <c r="C89" s="335" t="s">
        <v>328</v>
      </c>
      <c r="D89" s="479"/>
      <c r="E89" s="480"/>
      <c r="F89" s="316"/>
      <c r="G89" s="278"/>
      <c r="H89" s="278">
        <v>38.65</v>
      </c>
      <c r="I89" s="278"/>
      <c r="J89" s="278"/>
      <c r="K89" s="944"/>
      <c r="L89" s="269"/>
      <c r="M89" s="481"/>
      <c r="R89" s="246"/>
      <c r="S89" s="247"/>
      <c r="U89" s="247"/>
    </row>
    <row r="90" spans="2:21" ht="15" customHeight="1">
      <c r="B90" s="325"/>
      <c r="C90" s="335" t="s">
        <v>331</v>
      </c>
      <c r="D90" s="326"/>
      <c r="E90" s="480"/>
      <c r="F90" s="316"/>
      <c r="G90" s="278"/>
      <c r="H90" s="278">
        <v>51.31</v>
      </c>
      <c r="I90" s="278"/>
      <c r="J90" s="278"/>
      <c r="K90" s="944"/>
      <c r="L90" s="269"/>
      <c r="M90" s="328"/>
      <c r="R90" s="246"/>
      <c r="S90" s="363"/>
      <c r="U90" s="247"/>
    </row>
    <row r="91" spans="2:21" ht="10.5" customHeight="1" thickBot="1">
      <c r="B91" s="303"/>
      <c r="C91" s="304"/>
      <c r="D91" s="482"/>
      <c r="E91" s="483"/>
      <c r="F91" s="484"/>
      <c r="G91" s="485"/>
      <c r="H91" s="485"/>
      <c r="I91" s="485"/>
      <c r="J91" s="485"/>
      <c r="K91" s="945"/>
      <c r="L91" s="485"/>
      <c r="M91" s="486"/>
      <c r="R91" s="246"/>
      <c r="S91" s="247"/>
      <c r="U91" s="247"/>
    </row>
    <row r="92" spans="2:21">
      <c r="B92" s="247"/>
      <c r="D92" s="246"/>
      <c r="G92" s="364">
        <f>SUM(G4:G91)</f>
        <v>153196.54</v>
      </c>
      <c r="H92" s="364">
        <f>SUM(H4:H91)</f>
        <v>222483.49</v>
      </c>
      <c r="I92" s="364"/>
      <c r="J92" s="364"/>
      <c r="K92" s="365"/>
      <c r="L92" s="214"/>
      <c r="R92" s="246"/>
      <c r="S92" s="247"/>
    </row>
    <row r="93" spans="2:21">
      <c r="D93" s="246"/>
      <c r="G93" s="215" t="e">
        <f>#REF!-G92</f>
        <v>#REF!</v>
      </c>
      <c r="L93" s="214"/>
      <c r="R93" s="246"/>
      <c r="S93" s="247"/>
    </row>
    <row r="94" spans="2:21">
      <c r="D94" s="246"/>
      <c r="L94" s="214"/>
      <c r="R94" s="246"/>
    </row>
    <row r="95" spans="2:21">
      <c r="E95" s="366"/>
      <c r="L95" s="214"/>
      <c r="R95" s="246"/>
    </row>
    <row r="96" spans="2:21">
      <c r="E96" s="246"/>
      <c r="L96" s="214"/>
      <c r="R96" s="246"/>
    </row>
    <row r="97" spans="5:18">
      <c r="E97" s="246"/>
      <c r="L97" s="214"/>
      <c r="R97" s="246"/>
    </row>
    <row r="98" spans="5:18">
      <c r="E98" s="246"/>
      <c r="L98" s="214"/>
      <c r="R98" s="246"/>
    </row>
    <row r="99" spans="5:18">
      <c r="E99" s="246"/>
      <c r="L99" s="214"/>
      <c r="R99" s="246"/>
    </row>
    <row r="100" spans="5:18">
      <c r="L100" s="214"/>
      <c r="R100" s="246"/>
    </row>
    <row r="101" spans="5:18">
      <c r="L101" s="214"/>
      <c r="R101" s="246"/>
    </row>
    <row r="102" spans="5:18">
      <c r="L102" s="214"/>
      <c r="R102" s="246"/>
    </row>
    <row r="103" spans="5:18">
      <c r="L103" s="214"/>
      <c r="R103" s="246"/>
    </row>
    <row r="104" spans="5:18">
      <c r="L104" s="214"/>
      <c r="R104" s="246"/>
    </row>
    <row r="105" spans="5:18">
      <c r="L105" s="214"/>
      <c r="R105" s="246"/>
    </row>
    <row r="106" spans="5:18">
      <c r="L106" s="214"/>
      <c r="R106" s="246"/>
    </row>
    <row r="107" spans="5:18">
      <c r="L107" s="214"/>
      <c r="R107" s="246"/>
    </row>
    <row r="108" spans="5:18">
      <c r="L108" s="214"/>
      <c r="R108" s="246"/>
    </row>
    <row r="109" spans="5:18">
      <c r="L109" s="214"/>
      <c r="R109" s="246"/>
    </row>
    <row r="110" spans="5:18">
      <c r="R110" s="246"/>
    </row>
    <row r="111" spans="5:18">
      <c r="R111" s="246"/>
    </row>
    <row r="112" spans="5:18">
      <c r="R112" s="246"/>
    </row>
    <row r="113" spans="18:18">
      <c r="R113" s="246"/>
    </row>
    <row r="114" spans="18:18">
      <c r="R114" s="246"/>
    </row>
    <row r="115" spans="18:18">
      <c r="R115" s="246"/>
    </row>
    <row r="116" spans="18:18">
      <c r="R116" s="246"/>
    </row>
    <row r="117" spans="18:18">
      <c r="R117" s="246"/>
    </row>
    <row r="118" spans="18:18">
      <c r="R118" s="246"/>
    </row>
    <row r="119" spans="18:18">
      <c r="R119" s="246"/>
    </row>
    <row r="120" spans="18:18">
      <c r="R120" s="246"/>
    </row>
    <row r="121" spans="18:18">
      <c r="R121" s="246"/>
    </row>
    <row r="122" spans="18:18">
      <c r="R122" s="246"/>
    </row>
    <row r="123" spans="18:18">
      <c r="R123" s="246"/>
    </row>
    <row r="124" spans="18:18">
      <c r="R124" s="246"/>
    </row>
    <row r="125" spans="18:18">
      <c r="R125" s="246"/>
    </row>
    <row r="126" spans="18:18">
      <c r="R126" s="246"/>
    </row>
    <row r="127" spans="18:18">
      <c r="R127" s="246"/>
    </row>
    <row r="128" spans="18:18">
      <c r="R128" s="246"/>
    </row>
    <row r="129" spans="18:18">
      <c r="R129" s="246"/>
    </row>
    <row r="130" spans="18:18">
      <c r="R130" s="246"/>
    </row>
    <row r="131" spans="18:18">
      <c r="R131" s="246"/>
    </row>
    <row r="132" spans="18:18">
      <c r="R132" s="246"/>
    </row>
    <row r="133" spans="18:18">
      <c r="R133" s="246"/>
    </row>
  </sheetData>
  <sheetProtection algorithmName="SHA-512" hashValue="T8cA8XHuok6cvplRyo4HLdzwPcwNMkdyivAcNukDF6k7RLcbliJrPzajq6YTcIGScD+mXKk5ekmuqW0fcMffzg==" saltValue="S+Y/v5JFgsJ7DMwtSsE8dg==" spinCount="100000" sheet="1" objects="1" scenarios="1"/>
  <mergeCells count="19">
    <mergeCell ref="Q2:R2"/>
    <mergeCell ref="L38:L39"/>
    <mergeCell ref="B7:B8"/>
    <mergeCell ref="D7:D8"/>
    <mergeCell ref="M7:M8"/>
    <mergeCell ref="M10:M11"/>
    <mergeCell ref="G12:G17"/>
    <mergeCell ref="E19:E23"/>
    <mergeCell ref="E24:E25"/>
    <mergeCell ref="C19:C25"/>
    <mergeCell ref="M12:M18"/>
    <mergeCell ref="H12:H18"/>
    <mergeCell ref="E52:E57"/>
    <mergeCell ref="M81:M82"/>
    <mergeCell ref="K84:K91"/>
    <mergeCell ref="B68:B75"/>
    <mergeCell ref="E68:E75"/>
    <mergeCell ref="D68:D75"/>
    <mergeCell ref="F68:F75"/>
  </mergeCells>
  <printOptions horizontalCentered="1" verticalCentered="1"/>
  <pageMargins left="0" right="0" top="1.3779527559055118" bottom="1.1811023622047245" header="0.51181102362204722" footer="0.51181102362204722"/>
  <pageSetup paperSize="9" scale="57" fitToHeight="2" orientation="landscape" horizontalDpi="300" verticalDpi="300" r:id="rId1"/>
  <headerFooter alignWithMargins="0">
    <oddHeader>&amp;LAccounts for Audit y/e 31 March 2024&amp;CNassington Parish Council 
&amp;"Arial,Bold"ASSET REGISTER&amp;RPage &amp;P of &amp;N</oddHeader>
    <oddFooter>&amp;R&amp;F</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Summary</vt:lpstr>
      <vt:lpstr>Budget Analysis</vt:lpstr>
      <vt:lpstr>Receipts</vt:lpstr>
      <vt:lpstr>Payments</vt:lpstr>
      <vt:lpstr>Balances</vt:lpstr>
      <vt:lpstr>Audit Bank rec</vt:lpstr>
      <vt:lpstr>AED</vt:lpstr>
      <vt:lpstr>Audit reconciliation</vt:lpstr>
      <vt:lpstr>Asset Register</vt:lpstr>
      <vt:lpstr>NPC Explantation of variances</vt:lpstr>
      <vt:lpstr>'Asset Register'!Print_Area</vt:lpstr>
      <vt:lpstr>'Audit Bank rec'!Print_Area</vt:lpstr>
      <vt:lpstr>'Audit reconciliation'!Print_Area</vt:lpstr>
      <vt:lpstr>Balances!Print_Area</vt:lpstr>
      <vt:lpstr>'Budget Analysis'!Print_Area</vt:lpstr>
      <vt:lpstr>Payments!Print_Area</vt:lpstr>
      <vt:lpstr>Receipts!Print_Area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Rodger</dc:creator>
  <cp:lastModifiedBy>Office Manager</cp:lastModifiedBy>
  <cp:lastPrinted>2023-05-06T16:47:17Z</cp:lastPrinted>
  <dcterms:created xsi:type="dcterms:W3CDTF">2000-08-20T11:12:38Z</dcterms:created>
  <dcterms:modified xsi:type="dcterms:W3CDTF">2024-05-16T19:23:14Z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-2139136541</vt:i4>
  </property>
  <property fmtid="{D5CDD505-2E9C-101B-9397-08002B2CF9AE}" pid="3" name="_EmailSubject">
    <vt:lpwstr>07 Nass accs 07_08</vt:lpwstr>
  </property>
  <property fmtid="{D5CDD505-2E9C-101B-9397-08002B2CF9AE}" pid="4" name="_AuthorEmail">
    <vt:lpwstr>sarah@therodgers.plus.com</vt:lpwstr>
  </property>
  <property fmtid="{D5CDD505-2E9C-101B-9397-08002B2CF9AE}" pid="5" name="_AuthorEmailDisplayName">
    <vt:lpwstr>Sarah Rodger</vt:lpwstr>
  </property>
  <property fmtid="{D5CDD505-2E9C-101B-9397-08002B2CF9AE}" pid="6" name="_PreviousAdHocReviewCycleID">
    <vt:i4>970015702</vt:i4>
  </property>
  <property fmtid="{D5CDD505-2E9C-101B-9397-08002B2CF9AE}" pid="7" name="_ReviewingToolsShownOnce">
    <vt:lpwstr/>
  </property>
  <property fmtid="{D5CDD505-2E9C-101B-9397-08002B2CF9AE}" pid="8" name="AddDocumentEventProcessedFirstTime">
    <vt:lpwstr>True</vt:lpwstr>
  </property>
  <property fmtid="{D5CDD505-2E9C-101B-9397-08002B2CF9AE}" pid="9" name="AddDocumentEventProcessedFileUniqueId">
    <vt:lpwstr>202943c6-9444-4823-a0ba-649e330bac14</vt:lpwstr>
  </property>
  <property fmtid="{D5CDD505-2E9C-101B-9397-08002B2CF9AE}" pid="10" name="LastObjectUpdateEventProcessedVersion">
    <vt:lpwstr>2.0</vt:lpwstr>
  </property>
</Properties>
</file>