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updateLinks="never" codeName="ThisWorkbook" defaultThemeVersion="123820"/>
  <mc:AlternateContent xmlns:mc="http://schemas.openxmlformats.org/markup-compatibility/2006">
    <mc:Choice Requires="x15">
      <x15ac:absPath xmlns:x15ac="http://schemas.microsoft.com/office/spreadsheetml/2010/11/ac" url="C:\Users\local_dh0x\Dropbox\Nassington PC\Accounts &amp; Audit\2022_23\Audit\"/>
    </mc:Choice>
  </mc:AlternateContent>
  <xr:revisionPtr revIDLastSave="0" documentId="13_ncr:1_{073DF592-80E5-43CC-B839-E7FF484B4B70}" xr6:coauthVersionLast="47" xr6:coauthVersionMax="47" xr10:uidLastSave="{00000000-0000-0000-0000-000000000000}"/>
  <bookViews>
    <workbookView xWindow="-120" yWindow="-120" windowWidth="29040" windowHeight="15720" tabRatio="760" xr2:uid="{00000000-000D-0000-FFFF-FFFF00000000}"/>
  </bookViews>
  <sheets>
    <sheet name="Summary" sheetId="38" r:id="rId1"/>
    <sheet name="Receipts" sheetId="8" r:id="rId2"/>
    <sheet name="Payments" sheetId="10" r:id="rId3"/>
    <sheet name="Balances" sheetId="4" r:id="rId4"/>
    <sheet name="Audit Bank rec" sheetId="35" state="hidden" r:id="rId5"/>
    <sheet name="AED" sheetId="60" state="hidden" r:id="rId6"/>
    <sheet name="PockIt-Petty Cash" sheetId="57" state="hidden" r:id="rId7"/>
    <sheet name="Variances " sheetId="61" r:id="rId8"/>
    <sheet name="Audit reconciliation" sheetId="34" state="hidden" r:id="rId9"/>
    <sheet name="Asset Register" sheetId="28" r:id="rId10"/>
    <sheet name="Payments (2)" sheetId="62" state="hidden" r:id="rId11"/>
    <sheet name="VAT" sheetId="37" state="hidden" r:id="rId12"/>
  </sheets>
  <externalReferences>
    <externalReference r:id="rId13"/>
    <externalReference r:id="rId14"/>
    <externalReference r:id="rId15"/>
    <externalReference r:id="rId16"/>
    <externalReference r:id="rId17"/>
    <externalReference r:id="rId18"/>
  </externalReferences>
  <definedNames>
    <definedName name="_cp" localSheetId="7">#REF!</definedName>
    <definedName name="_cp">#REF!</definedName>
    <definedName name="_xlnm._FilterDatabase" localSheetId="2" hidden="1">Payments!$B$2:$O$90</definedName>
    <definedName name="_xlnm._FilterDatabase" localSheetId="10" hidden="1">'Payments (2)'!$B$2:$O$90</definedName>
    <definedName name="afsha" localSheetId="7">#REF!</definedName>
    <definedName name="afsha">#REF!</definedName>
    <definedName name="budg_payts" localSheetId="7">#REF!</definedName>
    <definedName name="budg_payts">#REF!</definedName>
    <definedName name="budget" localSheetId="10">'Payments (2)'!#REF!</definedName>
    <definedName name="budget" localSheetId="7">[1]Payments!#REF!</definedName>
    <definedName name="budget">Payments!#REF!</definedName>
    <definedName name="budget_analysis" localSheetId="10">'Payments (2)'!#REF!</definedName>
    <definedName name="budget_analysis" localSheetId="7">[1]Payments!#REF!</definedName>
    <definedName name="budget_analysis">Payments!#REF!</definedName>
    <definedName name="Budget_payts" localSheetId="7">#REF!</definedName>
    <definedName name="Budget_payts">#REF!</definedName>
    <definedName name="BudgetAnalysis" localSheetId="9">'[2] budget'!$C$34:$C$38,'[2] budget'!$C$13:$C$32</definedName>
    <definedName name="BudgetAnalysis" localSheetId="7">'[1] budget'!$C$38:$C$41,'[1] budget'!$C$14:$C$32</definedName>
    <definedName name="BudgetAnalysis">#REF!,#REF!</definedName>
    <definedName name="budgetcosts" localSheetId="7">[3]Payments!#REF!</definedName>
    <definedName name="budgetcosts">[3]Payments!#REF!</definedName>
    <definedName name="BudgetHeaders" localSheetId="10">'Payments (2)'!#REF!</definedName>
    <definedName name="BudgetHeaders" localSheetId="7">[1]Payments!#REF!</definedName>
    <definedName name="BudgetHeaders">Payments!#REF!</definedName>
    <definedName name="BudgetList">'[4]Budget control'!$B$4:$B$13</definedName>
    <definedName name="budgets" localSheetId="9">[2]Payments!$R$3:$R$27</definedName>
    <definedName name="budgets" localSheetId="10">'Payments (2)'!#REF!</definedName>
    <definedName name="budgets" localSheetId="7">[1]Payments!$R$3:$R$35</definedName>
    <definedName name="budgets">Payments!#REF!</definedName>
    <definedName name="coss" localSheetId="7">#REF!</definedName>
    <definedName name="coss">#REF!</definedName>
    <definedName name="costcentre" localSheetId="7">#REF!</definedName>
    <definedName name="costcentre">#REF!</definedName>
    <definedName name="costpoints" localSheetId="9">#REF!</definedName>
    <definedName name="costpoints" localSheetId="10">'Payments (2)'!#REF!</definedName>
    <definedName name="costpoints" localSheetId="7">[1]Payments!#REF!</definedName>
    <definedName name="costpoints">Payments!#REF!</definedName>
    <definedName name="costs" localSheetId="7">#REF!</definedName>
    <definedName name="costs">#REF!</definedName>
    <definedName name="cp" localSheetId="7">[1]Payments!#REF!</definedName>
    <definedName name="cp">[1]Payments!#REF!</definedName>
    <definedName name="cp_" localSheetId="7">[1]Payments!#REF!</definedName>
    <definedName name="cp_">[1]Payments!#REF!</definedName>
    <definedName name="CP__" localSheetId="7">#REF!</definedName>
    <definedName name="CP__">#REF!</definedName>
    <definedName name="CPP" localSheetId="7">[1]Payments!#REF!</definedName>
    <definedName name="CPP">[1]Payments!#REF!</definedName>
    <definedName name="Exp_list" localSheetId="7">#REF!</definedName>
    <definedName name="Exp_list">#REF!</definedName>
    <definedName name="expenses" localSheetId="7">#REF!</definedName>
    <definedName name="expenses">#REF!</definedName>
    <definedName name="exps">#REF!</definedName>
    <definedName name="Exps_list" localSheetId="7">#REF!</definedName>
    <definedName name="Exps_list">#REF!</definedName>
    <definedName name="n">#REF!</definedName>
    <definedName name="percent">[5]VARIATIONS!$C$17</definedName>
    <definedName name="precept" localSheetId="7">#REF!</definedName>
    <definedName name="precept">#REF!</definedName>
    <definedName name="_xlnm.Print_Area" localSheetId="9">'Asset Register'!$B$2:$M$92</definedName>
    <definedName name="_xlnm.Print_Area" localSheetId="4">'Audit Bank rec'!$C$1:$F$19</definedName>
    <definedName name="_xlnm.Print_Area" localSheetId="8">'Audit reconciliation'!$A$2:$N$15</definedName>
    <definedName name="_xlnm.Print_Area" localSheetId="3">Balances!$A$2:$C$31</definedName>
    <definedName name="_xlnm.Print_Area" localSheetId="2">Payments!$B$2:$O$127</definedName>
    <definedName name="_xlnm.Print_Area" localSheetId="10">'Payments (2)'!$B$2:$O$127</definedName>
    <definedName name="_xlnm.Print_Area" localSheetId="1">Receipts!$B$1:$M$63</definedName>
    <definedName name="_xlnm.Print_Area" localSheetId="0">Summary!$B$2:$M$17</definedName>
    <definedName name="_xlnm.Print_Area" localSheetId="7">'Variances '!$B$3:$L$50</definedName>
    <definedName name="_xlnm.Print_Area" localSheetId="11">VAT!$B$1:$F$76</definedName>
    <definedName name="Salary" localSheetId="7">[3]Payments!#REF!</definedName>
    <definedName name="Salary">[3]Payments!#REF!</definedName>
    <definedName name="ssdfe4w" localSheetId="7">#REF!</definedName>
    <definedName name="ssdfe4w">#REF!</definedName>
    <definedName name="sss" localSheetId="7">#REF!</definedName>
    <definedName name="sss">#REF!</definedName>
    <definedName name="ssssssssss" localSheetId="7">#REF!</definedName>
    <definedName name="ssssssssss">#REF!</definedName>
    <definedName name="v">#REF!</definedName>
    <definedName name="vv">#REF!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4" i="62" l="1"/>
  <c r="K204" i="62"/>
  <c r="M203" i="62"/>
  <c r="C203" i="62" s="1"/>
  <c r="M202" i="62"/>
  <c r="C202" i="62" s="1"/>
  <c r="M201" i="62"/>
  <c r="M200" i="62"/>
  <c r="M199" i="62"/>
  <c r="C199" i="62" s="1"/>
  <c r="M198" i="62"/>
  <c r="C198" i="62" s="1"/>
  <c r="M197" i="62"/>
  <c r="C197" i="62"/>
  <c r="M196" i="62"/>
  <c r="C196" i="62"/>
  <c r="M195" i="62"/>
  <c r="C195" i="62" s="1"/>
  <c r="J194" i="62"/>
  <c r="M194" i="62" s="1"/>
  <c r="M193" i="62"/>
  <c r="M192" i="62"/>
  <c r="C192" i="62" s="1"/>
  <c r="M191" i="62"/>
  <c r="N191" i="62" s="1"/>
  <c r="M190" i="62"/>
  <c r="N190" i="62" s="1"/>
  <c r="M189" i="62"/>
  <c r="I188" i="62"/>
  <c r="M188" i="62" s="1"/>
  <c r="C188" i="62" s="1"/>
  <c r="M187" i="62"/>
  <c r="C187" i="62" s="1"/>
  <c r="M186" i="62"/>
  <c r="C186" i="62"/>
  <c r="M185" i="62"/>
  <c r="C185" i="62" s="1"/>
  <c r="M184" i="62"/>
  <c r="M183" i="62"/>
  <c r="C183" i="62" s="1"/>
  <c r="M182" i="62"/>
  <c r="C182" i="62" s="1"/>
  <c r="M180" i="62"/>
  <c r="C180" i="62"/>
  <c r="M179" i="62"/>
  <c r="C179" i="62" s="1"/>
  <c r="M178" i="62"/>
  <c r="C178" i="62" s="1"/>
  <c r="M177" i="62"/>
  <c r="C177" i="62" s="1"/>
  <c r="M176" i="62"/>
  <c r="M175" i="62"/>
  <c r="M174" i="62"/>
  <c r="C174" i="62" s="1"/>
  <c r="M173" i="62"/>
  <c r="C173" i="62" s="1"/>
  <c r="M172" i="62"/>
  <c r="C172" i="62" s="1"/>
  <c r="M171" i="62"/>
  <c r="C171" i="62" s="1"/>
  <c r="M170" i="62"/>
  <c r="M169" i="62"/>
  <c r="M168" i="62"/>
  <c r="C168" i="62"/>
  <c r="M167" i="62"/>
  <c r="C167" i="62" s="1"/>
  <c r="M166" i="62"/>
  <c r="C166" i="62" s="1"/>
  <c r="M165" i="62"/>
  <c r="C165" i="62" s="1"/>
  <c r="M164" i="62"/>
  <c r="C164" i="62" s="1"/>
  <c r="M163" i="62"/>
  <c r="C163" i="62"/>
  <c r="M162" i="62"/>
  <c r="C162" i="62" s="1"/>
  <c r="M161" i="62"/>
  <c r="C161" i="62" s="1"/>
  <c r="M160" i="62"/>
  <c r="C160" i="62" s="1"/>
  <c r="M159" i="62"/>
  <c r="C159" i="62" s="1"/>
  <c r="M158" i="62"/>
  <c r="C158" i="62" s="1"/>
  <c r="M157" i="62"/>
  <c r="C157" i="62" s="1"/>
  <c r="M156" i="62"/>
  <c r="M155" i="62"/>
  <c r="I154" i="62"/>
  <c r="M154" i="62" s="1"/>
  <c r="C154" i="62" s="1"/>
  <c r="M153" i="62"/>
  <c r="M152" i="62"/>
  <c r="C152" i="62" s="1"/>
  <c r="M151" i="62"/>
  <c r="C151" i="62" s="1"/>
  <c r="M150" i="62"/>
  <c r="C150" i="62" s="1"/>
  <c r="M149" i="62"/>
  <c r="C149" i="62" s="1"/>
  <c r="M148" i="62"/>
  <c r="C148" i="62" s="1"/>
  <c r="M147" i="62"/>
  <c r="N147" i="62" s="1"/>
  <c r="M146" i="62"/>
  <c r="N146" i="62" s="1"/>
  <c r="M145" i="62"/>
  <c r="C145" i="62" s="1"/>
  <c r="M144" i="62"/>
  <c r="C144" i="62" s="1"/>
  <c r="M143" i="62"/>
  <c r="C143" i="62" s="1"/>
  <c r="M142" i="62"/>
  <c r="M141" i="62"/>
  <c r="M140" i="62"/>
  <c r="M139" i="62"/>
  <c r="C139" i="62" s="1"/>
  <c r="M138" i="62"/>
  <c r="C138" i="62" s="1"/>
  <c r="M137" i="62"/>
  <c r="C137" i="62"/>
  <c r="M136" i="62"/>
  <c r="C136" i="62" s="1"/>
  <c r="M135" i="62"/>
  <c r="C135" i="62" s="1"/>
  <c r="M134" i="62"/>
  <c r="C134" i="62" s="1"/>
  <c r="M133" i="62"/>
  <c r="C133" i="62" s="1"/>
  <c r="M132" i="62"/>
  <c r="C132" i="62" s="1"/>
  <c r="D132" i="62"/>
  <c r="M131" i="62"/>
  <c r="C131" i="62" s="1"/>
  <c r="D131" i="62"/>
  <c r="M130" i="62"/>
  <c r="M129" i="62"/>
  <c r="M128" i="62"/>
  <c r="D128" i="62"/>
  <c r="C128" i="62"/>
  <c r="M127" i="62"/>
  <c r="C127" i="62"/>
  <c r="M126" i="62"/>
  <c r="C126" i="62" s="1"/>
  <c r="M125" i="62"/>
  <c r="C125" i="62" s="1"/>
  <c r="M124" i="62"/>
  <c r="C124" i="62" s="1"/>
  <c r="M123" i="62"/>
  <c r="M122" i="62"/>
  <c r="M121" i="62"/>
  <c r="M120" i="62"/>
  <c r="M119" i="62"/>
  <c r="N119" i="62" s="1"/>
  <c r="M118" i="62"/>
  <c r="N118" i="62" s="1"/>
  <c r="C118" i="62"/>
  <c r="M117" i="62"/>
  <c r="N117" i="62" s="1"/>
  <c r="M116" i="62"/>
  <c r="C116" i="62" s="1"/>
  <c r="M115" i="62"/>
  <c r="M114" i="62"/>
  <c r="C114" i="62" s="1"/>
  <c r="M113" i="62"/>
  <c r="C113" i="62" s="1"/>
  <c r="M112" i="62"/>
  <c r="M111" i="62"/>
  <c r="M110" i="62"/>
  <c r="C110" i="62" s="1"/>
  <c r="M109" i="62"/>
  <c r="C109" i="62" s="1"/>
  <c r="M108" i="62"/>
  <c r="C108" i="62" s="1"/>
  <c r="I107" i="62"/>
  <c r="M106" i="62"/>
  <c r="C106" i="62" s="1"/>
  <c r="M105" i="62"/>
  <c r="C105" i="62" s="1"/>
  <c r="M104" i="62"/>
  <c r="C104" i="62" s="1"/>
  <c r="M103" i="62"/>
  <c r="M102" i="62"/>
  <c r="M101" i="62"/>
  <c r="M100" i="62"/>
  <c r="C100" i="62" s="1"/>
  <c r="M99" i="62"/>
  <c r="M98" i="62"/>
  <c r="C98" i="62" s="1"/>
  <c r="M97" i="62"/>
  <c r="C97" i="62" s="1"/>
  <c r="M96" i="62"/>
  <c r="C96" i="62" s="1"/>
  <c r="M95" i="62"/>
  <c r="M94" i="62"/>
  <c r="M93" i="62"/>
  <c r="C93" i="62" s="1"/>
  <c r="M92" i="62"/>
  <c r="C92" i="62" s="1"/>
  <c r="J91" i="62"/>
  <c r="M91" i="62" s="1"/>
  <c r="M90" i="62"/>
  <c r="C90" i="62" s="1"/>
  <c r="M89" i="62"/>
  <c r="C89" i="62" s="1"/>
  <c r="M88" i="62"/>
  <c r="C88" i="62" s="1"/>
  <c r="M87" i="62"/>
  <c r="M86" i="62"/>
  <c r="C86" i="62" s="1"/>
  <c r="M85" i="62"/>
  <c r="N85" i="62" s="1"/>
  <c r="N84" i="62"/>
  <c r="M83" i="62"/>
  <c r="N83" i="62" s="1"/>
  <c r="M82" i="62"/>
  <c r="C82" i="62" s="1"/>
  <c r="M81" i="62"/>
  <c r="N81" i="62" s="1"/>
  <c r="M80" i="62"/>
  <c r="C80" i="62" s="1"/>
  <c r="M79" i="62"/>
  <c r="C79" i="62" s="1"/>
  <c r="M78" i="62"/>
  <c r="C78" i="62" s="1"/>
  <c r="M77" i="62"/>
  <c r="C77" i="62" s="1"/>
  <c r="M76" i="62"/>
  <c r="N76" i="62" s="1"/>
  <c r="M75" i="62"/>
  <c r="N75" i="62" s="1"/>
  <c r="M74" i="62"/>
  <c r="M73" i="62"/>
  <c r="C73" i="62"/>
  <c r="M72" i="62"/>
  <c r="N72" i="62" s="1"/>
  <c r="M71" i="62"/>
  <c r="C71" i="62"/>
  <c r="M70" i="62"/>
  <c r="M69" i="62"/>
  <c r="M68" i="62"/>
  <c r="C68" i="62" s="1"/>
  <c r="M67" i="62"/>
  <c r="N67" i="62" s="1"/>
  <c r="M66" i="62"/>
  <c r="C66" i="62"/>
  <c r="M65" i="62"/>
  <c r="C65" i="62" s="1"/>
  <c r="M64" i="62"/>
  <c r="N64" i="62" s="1"/>
  <c r="C63" i="62"/>
  <c r="M62" i="62"/>
  <c r="C62" i="62" s="1"/>
  <c r="M61" i="62"/>
  <c r="N61" i="62" s="1"/>
  <c r="J60" i="62"/>
  <c r="M60" i="62" s="1"/>
  <c r="C60" i="62" s="1"/>
  <c r="M59" i="62"/>
  <c r="M58" i="62"/>
  <c r="C58" i="62" s="1"/>
  <c r="M57" i="62"/>
  <c r="C57" i="62" s="1"/>
  <c r="M56" i="62"/>
  <c r="C56" i="62" s="1"/>
  <c r="M55" i="62"/>
  <c r="C55" i="62" s="1"/>
  <c r="M54" i="62"/>
  <c r="N54" i="62" s="1"/>
  <c r="M53" i="62"/>
  <c r="M52" i="62"/>
  <c r="C52" i="62" s="1"/>
  <c r="J51" i="62"/>
  <c r="M50" i="62"/>
  <c r="C50" i="62"/>
  <c r="M49" i="62"/>
  <c r="N49" i="62" s="1"/>
  <c r="C49" i="62" s="1"/>
  <c r="M48" i="62"/>
  <c r="C48" i="62" s="1"/>
  <c r="M47" i="62"/>
  <c r="C47" i="62" s="1"/>
  <c r="M46" i="62"/>
  <c r="C46" i="62" s="1"/>
  <c r="M45" i="62"/>
  <c r="C45" i="62" s="1"/>
  <c r="M44" i="62"/>
  <c r="C44" i="62" s="1"/>
  <c r="M43" i="62"/>
  <c r="N43" i="62" s="1"/>
  <c r="M42" i="62"/>
  <c r="C42" i="62" s="1"/>
  <c r="M41" i="62"/>
  <c r="C41" i="62" s="1"/>
  <c r="M40" i="62"/>
  <c r="C40" i="62" s="1"/>
  <c r="M39" i="62"/>
  <c r="C39" i="62" s="1"/>
  <c r="M38" i="62"/>
  <c r="C38" i="62" s="1"/>
  <c r="M37" i="62"/>
  <c r="M36" i="62"/>
  <c r="C36" i="62"/>
  <c r="M35" i="62"/>
  <c r="C35" i="62" s="1"/>
  <c r="M34" i="62"/>
  <c r="C34" i="62" s="1"/>
  <c r="M33" i="62"/>
  <c r="N33" i="62" s="1"/>
  <c r="C33" i="62" s="1"/>
  <c r="M32" i="62"/>
  <c r="C32" i="62" s="1"/>
  <c r="M31" i="62"/>
  <c r="C31" i="62"/>
  <c r="M30" i="62"/>
  <c r="C30" i="62" s="1"/>
  <c r="M29" i="62"/>
  <c r="C29" i="62"/>
  <c r="M28" i="62"/>
  <c r="C28" i="62" s="1"/>
  <c r="M27" i="62"/>
  <c r="N27" i="62" s="1"/>
  <c r="M26" i="62"/>
  <c r="M25" i="62"/>
  <c r="M24" i="62"/>
  <c r="M23" i="62"/>
  <c r="M22" i="62"/>
  <c r="M21" i="62"/>
  <c r="M20" i="62"/>
  <c r="M19" i="62"/>
  <c r="M18" i="62"/>
  <c r="M17" i="62"/>
  <c r="M16" i="62"/>
  <c r="C16" i="62" s="1"/>
  <c r="M15" i="62"/>
  <c r="C15" i="62" s="1"/>
  <c r="M14" i="62"/>
  <c r="C14" i="62"/>
  <c r="M13" i="62"/>
  <c r="N13" i="62" s="1"/>
  <c r="C13" i="62" s="1"/>
  <c r="M12" i="62"/>
  <c r="N12" i="62" s="1"/>
  <c r="M11" i="62"/>
  <c r="C11" i="62" s="1"/>
  <c r="M10" i="62"/>
  <c r="C10" i="62" s="1"/>
  <c r="M9" i="62"/>
  <c r="C9" i="62" s="1"/>
  <c r="M8" i="62"/>
  <c r="C8" i="62" s="1"/>
  <c r="M7" i="62"/>
  <c r="C7" i="62" s="1"/>
  <c r="M6" i="62"/>
  <c r="C6" i="62" s="1"/>
  <c r="M5" i="62"/>
  <c r="C5" i="62" s="1"/>
  <c r="B5" i="62"/>
  <c r="B6" i="62" s="1"/>
  <c r="B7" i="62" s="1"/>
  <c r="B8" i="62" s="1"/>
  <c r="B9" i="62" s="1"/>
  <c r="B10" i="62" s="1"/>
  <c r="B11" i="62" s="1"/>
  <c r="B12" i="62" s="1"/>
  <c r="B13" i="62" s="1"/>
  <c r="B14" i="62" s="1"/>
  <c r="B15" i="62" s="1"/>
  <c r="B16" i="62" s="1"/>
  <c r="B17" i="62" s="1"/>
  <c r="B27" i="62" s="1"/>
  <c r="B28" i="62" s="1"/>
  <c r="M4" i="62"/>
  <c r="C4" i="62" s="1"/>
  <c r="B4" i="62"/>
  <c r="M3" i="62"/>
  <c r="C3" i="62" s="1"/>
  <c r="H61" i="57"/>
  <c r="F3" i="34"/>
  <c r="C81" i="62" l="1"/>
  <c r="C111" i="62"/>
  <c r="C102" i="62"/>
  <c r="I204" i="62"/>
  <c r="C54" i="62"/>
  <c r="C94" i="62"/>
  <c r="C200" i="62"/>
  <c r="C193" i="62"/>
  <c r="N101" i="62"/>
  <c r="C101" i="62" s="1"/>
  <c r="C69" i="62"/>
  <c r="C175" i="62"/>
  <c r="N91" i="62"/>
  <c r="C91" i="62" s="1"/>
  <c r="N115" i="62"/>
  <c r="C115" i="62" s="1"/>
  <c r="C140" i="62"/>
  <c r="C85" i="62"/>
  <c r="C129" i="62"/>
  <c r="C75" i="62"/>
  <c r="C119" i="62"/>
  <c r="C122" i="62"/>
  <c r="C155" i="62"/>
  <c r="C169" i="62"/>
  <c r="C17" i="62"/>
  <c r="B29" i="62"/>
  <c r="B30" i="62"/>
  <c r="B31" i="62" s="1"/>
  <c r="B32" i="62" s="1"/>
  <c r="B33" i="62" s="1"/>
  <c r="B34" i="62" s="1"/>
  <c r="B35" i="62" s="1"/>
  <c r="B36" i="62" s="1"/>
  <c r="B38" i="62" s="1"/>
  <c r="B39" i="62" s="1"/>
  <c r="B40" i="62" s="1"/>
  <c r="B41" i="62" s="1"/>
  <c r="B42" i="62" s="1"/>
  <c r="B43" i="62" s="1"/>
  <c r="B44" i="62" s="1"/>
  <c r="B45" i="62" s="1"/>
  <c r="B46" i="62" s="1"/>
  <c r="B47" i="62" s="1"/>
  <c r="C27" i="62"/>
  <c r="N53" i="62"/>
  <c r="C53" i="62" s="1"/>
  <c r="N59" i="62"/>
  <c r="C59" i="62" s="1"/>
  <c r="C61" i="62"/>
  <c r="C64" i="62"/>
  <c r="C67" i="62"/>
  <c r="C72" i="62"/>
  <c r="C83" i="62"/>
  <c r="N87" i="62"/>
  <c r="C87" i="62" s="1"/>
  <c r="J204" i="62"/>
  <c r="M51" i="62"/>
  <c r="C51" i="62" s="1"/>
  <c r="C76" i="62"/>
  <c r="M107" i="62"/>
  <c r="C107" i="62" s="1"/>
  <c r="C117" i="62"/>
  <c r="C12" i="62"/>
  <c r="C43" i="62"/>
  <c r="C146" i="62"/>
  <c r="C147" i="62"/>
  <c r="C190" i="62"/>
  <c r="C191" i="62"/>
  <c r="M202" i="10"/>
  <c r="C202" i="10" s="1"/>
  <c r="K36" i="28"/>
  <c r="K35" i="28"/>
  <c r="M201" i="10"/>
  <c r="M200" i="10"/>
  <c r="M199" i="10"/>
  <c r="C199" i="10" s="1"/>
  <c r="M204" i="62" l="1"/>
  <c r="N204" i="62"/>
  <c r="M205" i="62" s="1"/>
  <c r="C200" i="10"/>
  <c r="B48" i="62"/>
  <c r="B50" i="62" s="1"/>
  <c r="B51" i="62" s="1"/>
  <c r="B52" i="62" s="1"/>
  <c r="B53" i="62" s="1"/>
  <c r="B54" i="62" s="1"/>
  <c r="B55" i="62" s="1"/>
  <c r="B56" i="62" s="1"/>
  <c r="B57" i="62" s="1"/>
  <c r="B58" i="62" s="1"/>
  <c r="B59" i="62" s="1"/>
  <c r="B60" i="62" s="1"/>
  <c r="B61" i="62" s="1"/>
  <c r="B62" i="62" s="1"/>
  <c r="B63" i="62" s="1"/>
  <c r="B64" i="62" s="1"/>
  <c r="B49" i="62"/>
  <c r="B66" i="62" l="1"/>
  <c r="B67" i="62" s="1"/>
  <c r="B68" i="62" s="1"/>
  <c r="B69" i="62" s="1"/>
  <c r="B71" i="62" s="1"/>
  <c r="B72" i="62" s="1"/>
  <c r="B73" i="62" s="1"/>
  <c r="B75" i="62" s="1"/>
  <c r="B76" i="62" s="1"/>
  <c r="B77" i="62" s="1"/>
  <c r="B78" i="62" s="1"/>
  <c r="B79" i="62" s="1"/>
  <c r="B80" i="62" s="1"/>
  <c r="B81" i="62" s="1"/>
  <c r="B82" i="62" s="1"/>
  <c r="B83" i="62" s="1"/>
  <c r="B85" i="62" s="1"/>
  <c r="B86" i="62" s="1"/>
  <c r="B65" i="62"/>
  <c r="M34" i="8"/>
  <c r="M198" i="10"/>
  <c r="C198" i="10" s="1"/>
  <c r="M197" i="10"/>
  <c r="J194" i="10"/>
  <c r="M194" i="10" s="1"/>
  <c r="M193" i="10"/>
  <c r="I188" i="10"/>
  <c r="B88" i="62" l="1"/>
  <c r="B87" i="62"/>
  <c r="B89" i="62" s="1"/>
  <c r="B90" i="62" s="1"/>
  <c r="B91" i="62" s="1"/>
  <c r="B92" i="62" s="1"/>
  <c r="B93" i="62" s="1"/>
  <c r="B94" i="62" s="1"/>
  <c r="B96" i="62" s="1"/>
  <c r="B97" i="62" s="1"/>
  <c r="C197" i="10"/>
  <c r="C193" i="10"/>
  <c r="B98" i="62" l="1"/>
  <c r="B99" i="62"/>
  <c r="B100" i="62" s="1"/>
  <c r="M203" i="10"/>
  <c r="C203" i="10" s="1"/>
  <c r="M196" i="10"/>
  <c r="C196" i="10" s="1"/>
  <c r="M195" i="10"/>
  <c r="M192" i="10"/>
  <c r="C192" i="10" s="1"/>
  <c r="M191" i="10"/>
  <c r="M190" i="10"/>
  <c r="M189" i="10"/>
  <c r="M188" i="10"/>
  <c r="C188" i="10" s="1"/>
  <c r="M187" i="10"/>
  <c r="C187" i="10" s="1"/>
  <c r="M184" i="10"/>
  <c r="M183" i="10"/>
  <c r="B102" i="62" l="1"/>
  <c r="B104" i="62" s="1"/>
  <c r="B105" i="62" s="1"/>
  <c r="B106" i="62" s="1"/>
  <c r="B107" i="62" s="1"/>
  <c r="B108" i="62" s="1"/>
  <c r="B109" i="62" s="1"/>
  <c r="B101" i="62"/>
  <c r="C183" i="10"/>
  <c r="C195" i="10"/>
  <c r="N191" i="10"/>
  <c r="C191" i="10" s="1"/>
  <c r="N190" i="10"/>
  <c r="C190" i="10" s="1"/>
  <c r="B111" i="62" l="1"/>
  <c r="B113" i="62" s="1"/>
  <c r="B114" i="62" s="1"/>
  <c r="B115" i="62" s="1"/>
  <c r="B116" i="62" s="1"/>
  <c r="B117" i="62" s="1"/>
  <c r="B118" i="62" s="1"/>
  <c r="B119" i="62" s="1"/>
  <c r="B121" i="62" s="1"/>
  <c r="B122" i="62" s="1"/>
  <c r="B124" i="62" s="1"/>
  <c r="B125" i="62" s="1"/>
  <c r="B126" i="62" s="1"/>
  <c r="B127" i="62" s="1"/>
  <c r="B128" i="62" s="1"/>
  <c r="B110" i="62"/>
  <c r="M22" i="8"/>
  <c r="F60" i="8"/>
  <c r="E28" i="60"/>
  <c r="D28" i="60"/>
  <c r="C28" i="60"/>
  <c r="M177" i="10"/>
  <c r="C177" i="10" s="1"/>
  <c r="M171" i="10"/>
  <c r="C171" i="10" s="1"/>
  <c r="M176" i="10"/>
  <c r="M175" i="10"/>
  <c r="M186" i="10"/>
  <c r="C186" i="10" s="1"/>
  <c r="M185" i="10"/>
  <c r="C185" i="10" s="1"/>
  <c r="M182" i="10"/>
  <c r="C182" i="10" s="1"/>
  <c r="M180" i="10"/>
  <c r="C180" i="10" s="1"/>
  <c r="M179" i="10"/>
  <c r="C179" i="10" s="1"/>
  <c r="M178" i="10"/>
  <c r="M174" i="10"/>
  <c r="C174" i="10" s="1"/>
  <c r="M170" i="10"/>
  <c r="M169" i="10"/>
  <c r="B131" i="62" l="1"/>
  <c r="B132" i="62" s="1"/>
  <c r="B133" i="62" s="1"/>
  <c r="B134" i="62" s="1"/>
  <c r="B135" i="62" s="1"/>
  <c r="B136" i="62" s="1"/>
  <c r="B137" i="62" s="1"/>
  <c r="B138" i="62" s="1"/>
  <c r="B139" i="62" s="1"/>
  <c r="B140" i="62" s="1"/>
  <c r="B143" i="62" s="1"/>
  <c r="B144" i="62" s="1"/>
  <c r="B145" i="62" s="1"/>
  <c r="B146" i="62" s="1"/>
  <c r="B147" i="62" s="1"/>
  <c r="B148" i="62" s="1"/>
  <c r="B149" i="62" s="1"/>
  <c r="B150" i="62" s="1"/>
  <c r="B151" i="62" s="1"/>
  <c r="B152" i="62" s="1"/>
  <c r="B154" i="62" s="1"/>
  <c r="B155" i="62" s="1"/>
  <c r="B157" i="62" s="1"/>
  <c r="B158" i="62" s="1"/>
  <c r="B159" i="62" s="1"/>
  <c r="B160" i="62" s="1"/>
  <c r="B161" i="62" s="1"/>
  <c r="B162" i="62" s="1"/>
  <c r="B163" i="62" s="1"/>
  <c r="B164" i="62" s="1"/>
  <c r="B165" i="62" s="1"/>
  <c r="B166" i="62" s="1"/>
  <c r="B167" i="62" s="1"/>
  <c r="B168" i="62" s="1"/>
  <c r="B169" i="62" s="1"/>
  <c r="B171" i="62" s="1"/>
  <c r="B172" i="62" s="1"/>
  <c r="B173" i="62" s="1"/>
  <c r="B174" i="62" s="1"/>
  <c r="B175" i="62" s="1"/>
  <c r="B177" i="62" s="1"/>
  <c r="B178" i="62" s="1"/>
  <c r="B179" i="62" s="1"/>
  <c r="B180" i="62" s="1"/>
  <c r="B181" i="62" s="1"/>
  <c r="B182" i="62" s="1"/>
  <c r="B129" i="62"/>
  <c r="C175" i="10"/>
  <c r="C178" i="10"/>
  <c r="C169" i="10"/>
  <c r="B185" i="62" l="1"/>
  <c r="B186" i="62" s="1"/>
  <c r="B187" i="62" s="1"/>
  <c r="B188" i="62" s="1"/>
  <c r="B190" i="62" s="1"/>
  <c r="B191" i="62" s="1"/>
  <c r="B192" i="62" s="1"/>
  <c r="B193" i="62" s="1"/>
  <c r="B195" i="62" s="1"/>
  <c r="B196" i="62" s="1"/>
  <c r="B197" i="62" s="1"/>
  <c r="B198" i="62" s="1"/>
  <c r="B199" i="62" s="1"/>
  <c r="B200" i="62" s="1"/>
  <c r="B202" i="62" s="1"/>
  <c r="B203" i="62" s="1"/>
  <c r="B183" i="62"/>
  <c r="I154" i="10"/>
  <c r="M154" i="10" s="1"/>
  <c r="C154" i="10" s="1"/>
  <c r="B54" i="57"/>
  <c r="M166" i="10"/>
  <c r="M157" i="10"/>
  <c r="C157" i="10" s="1"/>
  <c r="E68" i="57"/>
  <c r="M153" i="10"/>
  <c r="M152" i="10"/>
  <c r="M158" i="10"/>
  <c r="C158" i="10" s="1"/>
  <c r="M156" i="10"/>
  <c r="M155" i="10"/>
  <c r="C152" i="10" l="1"/>
  <c r="C155" i="10"/>
  <c r="M144" i="10" l="1"/>
  <c r="C144" i="10" s="1"/>
  <c r="M151" i="10"/>
  <c r="M145" i="10"/>
  <c r="M146" i="10"/>
  <c r="N146" i="10" s="1"/>
  <c r="M131" i="10"/>
  <c r="C131" i="10" s="1"/>
  <c r="D131" i="10"/>
  <c r="C145" i="10" l="1"/>
  <c r="M141" i="10"/>
  <c r="M133" i="10"/>
  <c r="C133" i="10" s="1"/>
  <c r="M173" i="10"/>
  <c r="C173" i="10" s="1"/>
  <c r="M172" i="10"/>
  <c r="C172" i="10" s="1"/>
  <c r="M168" i="10"/>
  <c r="C168" i="10" s="1"/>
  <c r="C166" i="10"/>
  <c r="F56" i="57" s="1"/>
  <c r="H56" i="57" s="1"/>
  <c r="M165" i="10"/>
  <c r="C165" i="10" s="1"/>
  <c r="F55" i="57" s="1"/>
  <c r="H55" i="57" s="1"/>
  <c r="M167" i="10"/>
  <c r="C167" i="10" s="1"/>
  <c r="M164" i="10"/>
  <c r="C164" i="10" s="1"/>
  <c r="F54" i="57" s="1"/>
  <c r="M163" i="10"/>
  <c r="C163" i="10" s="1"/>
  <c r="M162" i="10"/>
  <c r="C162" i="10" s="1"/>
  <c r="M161" i="10"/>
  <c r="C161" i="10" s="1"/>
  <c r="M160" i="10"/>
  <c r="C160" i="10" s="1"/>
  <c r="M159" i="10"/>
  <c r="C159" i="10" s="1"/>
  <c r="C151" i="10"/>
  <c r="M150" i="10"/>
  <c r="C150" i="10" s="1"/>
  <c r="M149" i="10"/>
  <c r="C149" i="10" s="1"/>
  <c r="M148" i="10"/>
  <c r="C148" i="10" s="1"/>
  <c r="M147" i="10"/>
  <c r="C146" i="10"/>
  <c r="M143" i="10"/>
  <c r="C143" i="10" s="1"/>
  <c r="M142" i="10"/>
  <c r="M140" i="10"/>
  <c r="M139" i="10"/>
  <c r="C139" i="10" s="1"/>
  <c r="M138" i="10"/>
  <c r="C138" i="10" s="1"/>
  <c r="M137" i="10"/>
  <c r="C137" i="10" s="1"/>
  <c r="M136" i="10"/>
  <c r="C136" i="10" s="1"/>
  <c r="M135" i="10"/>
  <c r="C135" i="10" s="1"/>
  <c r="M134" i="10"/>
  <c r="C134" i="10" s="1"/>
  <c r="M132" i="10"/>
  <c r="C132" i="10" s="1"/>
  <c r="D132" i="10"/>
  <c r="M128" i="10"/>
  <c r="C128" i="10" s="1"/>
  <c r="D128" i="10"/>
  <c r="M130" i="10"/>
  <c r="M129" i="10"/>
  <c r="M110" i="10"/>
  <c r="C110" i="10" s="1"/>
  <c r="M98" i="10"/>
  <c r="C98" i="10" s="1"/>
  <c r="M124" i="10"/>
  <c r="C124" i="10" s="1"/>
  <c r="M97" i="10"/>
  <c r="C97" i="10" s="1"/>
  <c r="M12" i="8"/>
  <c r="M126" i="10"/>
  <c r="C126" i="10" s="1"/>
  <c r="M125" i="10"/>
  <c r="C125" i="10" s="1"/>
  <c r="M123" i="10"/>
  <c r="M122" i="10"/>
  <c r="M121" i="10"/>
  <c r="M120" i="10"/>
  <c r="M119" i="10"/>
  <c r="N119" i="10" s="1"/>
  <c r="M116" i="10"/>
  <c r="M112" i="10"/>
  <c r="M111" i="10"/>
  <c r="I107" i="10"/>
  <c r="M103" i="10"/>
  <c r="M99" i="10"/>
  <c r="M96" i="10"/>
  <c r="C96" i="10" s="1"/>
  <c r="M95" i="10"/>
  <c r="M94" i="10"/>
  <c r="M88" i="10"/>
  <c r="C88" i="10" s="1"/>
  <c r="I40" i="57"/>
  <c r="J91" i="10"/>
  <c r="N84" i="10"/>
  <c r="M74" i="10"/>
  <c r="M70" i="10"/>
  <c r="M69" i="10"/>
  <c r="M68" i="10"/>
  <c r="C68" i="10" s="1"/>
  <c r="J60" i="10"/>
  <c r="M60" i="10" s="1"/>
  <c r="J51" i="10"/>
  <c r="M45" i="10"/>
  <c r="C45" i="10" s="1"/>
  <c r="M50" i="10"/>
  <c r="C50" i="10" s="1"/>
  <c r="M38" i="10"/>
  <c r="C38" i="10" s="1"/>
  <c r="M37" i="10"/>
  <c r="M36" i="10"/>
  <c r="H62" i="57" l="1"/>
  <c r="F68" i="57"/>
  <c r="N147" i="10"/>
  <c r="C147" i="10" s="1"/>
  <c r="C140" i="10"/>
  <c r="C129" i="10"/>
  <c r="C111" i="10"/>
  <c r="C122" i="10"/>
  <c r="C119" i="10"/>
  <c r="C94" i="10"/>
  <c r="C69" i="10"/>
  <c r="C36" i="10"/>
  <c r="M24" i="10" l="1"/>
  <c r="M25" i="10"/>
  <c r="M23" i="10"/>
  <c r="M21" i="10"/>
  <c r="M20" i="10"/>
  <c r="M19" i="10"/>
  <c r="M18" i="10"/>
  <c r="M17" i="10"/>
  <c r="M22" i="10"/>
  <c r="M26" i="10"/>
  <c r="C17" i="10" l="1"/>
  <c r="C2" i="4" l="1"/>
  <c r="M43" i="10"/>
  <c r="N43" i="10" s="1"/>
  <c r="G3" i="57"/>
  <c r="G4" i="57" s="1"/>
  <c r="G5" i="57" s="1"/>
  <c r="G6" i="57" s="1"/>
  <c r="G7" i="57" s="1"/>
  <c r="G8" i="57" s="1"/>
  <c r="G9" i="57" s="1"/>
  <c r="G10" i="57" s="1"/>
  <c r="G11" i="57" s="1"/>
  <c r="G12" i="57" s="1"/>
  <c r="G13" i="57" s="1"/>
  <c r="G14" i="57" s="1"/>
  <c r="G15" i="57" s="1"/>
  <c r="G16" i="57" s="1"/>
  <c r="G17" i="57" s="1"/>
  <c r="G18" i="57" s="1"/>
  <c r="G19" i="57" s="1"/>
  <c r="G20" i="57" s="1"/>
  <c r="G21" i="57" s="1"/>
  <c r="G22" i="57" s="1"/>
  <c r="G23" i="57" s="1"/>
  <c r="G24" i="57" s="1"/>
  <c r="G25" i="57" s="1"/>
  <c r="G26" i="57" s="1"/>
  <c r="G27" i="57" s="1"/>
  <c r="G28" i="57" s="1"/>
  <c r="G29" i="57" s="1"/>
  <c r="G30" i="57" s="1"/>
  <c r="G31" i="57" s="1"/>
  <c r="G32" i="57" s="1"/>
  <c r="G33" i="57" s="1"/>
  <c r="G34" i="57" s="1"/>
  <c r="G35" i="57" s="1"/>
  <c r="G36" i="57" s="1"/>
  <c r="G37" i="57" s="1"/>
  <c r="G38" i="57" s="1"/>
  <c r="G39" i="57" s="1"/>
  <c r="G40" i="57" s="1"/>
  <c r="G41" i="57" s="1"/>
  <c r="H12" i="28"/>
  <c r="G42" i="57" l="1"/>
  <c r="G43" i="57" s="1"/>
  <c r="G44" i="57" s="1"/>
  <c r="G45" i="57" s="1"/>
  <c r="G46" i="57" s="1"/>
  <c r="K34" i="28"/>
  <c r="K33" i="28"/>
  <c r="K32" i="28"/>
  <c r="M87" i="10"/>
  <c r="M65" i="10"/>
  <c r="E4" i="35"/>
  <c r="H45" i="28"/>
  <c r="M104" i="10"/>
  <c r="C104" i="10" s="1"/>
  <c r="M105" i="10"/>
  <c r="C105" i="10" s="1"/>
  <c r="M106" i="10"/>
  <c r="C106" i="10" s="1"/>
  <c r="M107" i="10"/>
  <c r="M108" i="10"/>
  <c r="C108" i="10" s="1"/>
  <c r="M109" i="10"/>
  <c r="C109" i="10" s="1"/>
  <c r="M113" i="10"/>
  <c r="C113" i="10" s="1"/>
  <c r="M114" i="10"/>
  <c r="C114" i="10" s="1"/>
  <c r="M115" i="10"/>
  <c r="N115" i="10" s="1"/>
  <c r="C116" i="10"/>
  <c r="M117" i="10"/>
  <c r="N117" i="10" s="1"/>
  <c r="M118" i="10"/>
  <c r="G47" i="57" l="1"/>
  <c r="G48" i="57" s="1"/>
  <c r="G49" i="57" s="1"/>
  <c r="C115" i="10"/>
  <c r="N118" i="10"/>
  <c r="C118" i="10" s="1"/>
  <c r="C107" i="10"/>
  <c r="N87" i="10"/>
  <c r="C87" i="10" s="1"/>
  <c r="C65" i="10"/>
  <c r="C117" i="10"/>
  <c r="G50" i="57" l="1"/>
  <c r="D11" i="34"/>
  <c r="G51" i="57" l="1"/>
  <c r="G52" i="57" s="1"/>
  <c r="G53" i="57" s="1"/>
  <c r="M101" i="10"/>
  <c r="M100" i="10"/>
  <c r="C100" i="10" s="1"/>
  <c r="M102" i="10"/>
  <c r="C102" i="10" s="1"/>
  <c r="M90" i="10"/>
  <c r="C90" i="10" s="1"/>
  <c r="M78" i="10"/>
  <c r="C78" i="10" s="1"/>
  <c r="G54" i="57" l="1"/>
  <c r="G55" i="57" s="1"/>
  <c r="G56" i="57" s="1"/>
  <c r="G57" i="57" s="1"/>
  <c r="G58" i="57" s="1"/>
  <c r="G59" i="57" s="1"/>
  <c r="G60" i="57" s="1"/>
  <c r="G61" i="57" s="1"/>
  <c r="G62" i="57" s="1"/>
  <c r="G63" i="57" s="1"/>
  <c r="G64" i="57" s="1"/>
  <c r="N101" i="10"/>
  <c r="C101" i="10" s="1"/>
  <c r="M64" i="10"/>
  <c r="G5" i="4"/>
  <c r="C6" i="4"/>
  <c r="M51" i="10"/>
  <c r="C51" i="10" s="1"/>
  <c r="C63" i="10"/>
  <c r="M61" i="10"/>
  <c r="M13" i="8"/>
  <c r="M49" i="10"/>
  <c r="M53" i="10"/>
  <c r="N53" i="10" s="1"/>
  <c r="M52" i="10"/>
  <c r="C52" i="10" s="1"/>
  <c r="M48" i="10"/>
  <c r="C48" i="10" s="1"/>
  <c r="G65" i="57" l="1"/>
  <c r="G66" i="57" s="1"/>
  <c r="N64" i="10"/>
  <c r="C64" i="10" s="1"/>
  <c r="N61" i="10"/>
  <c r="C61" i="10" s="1"/>
  <c r="N49" i="10"/>
  <c r="C49" i="10" s="1"/>
  <c r="C53" i="10"/>
  <c r="M14" i="10"/>
  <c r="M4" i="10"/>
  <c r="M5" i="10"/>
  <c r="M6" i="10"/>
  <c r="C6" i="10" s="1"/>
  <c r="M7" i="10"/>
  <c r="C7" i="10" s="1"/>
  <c r="M8" i="10"/>
  <c r="M9" i="10"/>
  <c r="M10" i="10"/>
  <c r="M12" i="10"/>
  <c r="M13" i="10"/>
  <c r="M15" i="10"/>
  <c r="M16" i="10"/>
  <c r="M27" i="10"/>
  <c r="M29" i="10"/>
  <c r="M30" i="10"/>
  <c r="M31" i="10"/>
  <c r="M32" i="10"/>
  <c r="C32" i="10" s="1"/>
  <c r="M33" i="10"/>
  <c r="M34" i="10"/>
  <c r="M35" i="10"/>
  <c r="M39" i="10"/>
  <c r="M40" i="10"/>
  <c r="M41" i="10"/>
  <c r="C41" i="10" s="1"/>
  <c r="M42" i="10"/>
  <c r="M44" i="10"/>
  <c r="C44" i="10" s="1"/>
  <c r="M46" i="10"/>
  <c r="C46" i="10" s="1"/>
  <c r="M47" i="10"/>
  <c r="C47" i="10" s="1"/>
  <c r="C14" i="4" l="1"/>
  <c r="F8" i="4"/>
  <c r="N33" i="10"/>
  <c r="C33" i="10" s="1"/>
  <c r="N13" i="10"/>
  <c r="N12" i="10"/>
  <c r="C12" i="10" s="1"/>
  <c r="C9" i="10"/>
  <c r="C29" i="10" l="1"/>
  <c r="C4" i="10"/>
  <c r="M3" i="10"/>
  <c r="B5" i="10"/>
  <c r="B4" i="10"/>
  <c r="C3" i="10" l="1"/>
  <c r="C12" i="4"/>
  <c r="B12" i="4"/>
  <c r="C43" i="10"/>
  <c r="M11" i="10"/>
  <c r="M127" i="10"/>
  <c r="M93" i="10"/>
  <c r="M92" i="10"/>
  <c r="M91" i="10"/>
  <c r="M89" i="10"/>
  <c r="M86" i="10"/>
  <c r="M85" i="10"/>
  <c r="M83" i="10"/>
  <c r="M82" i="10"/>
  <c r="C82" i="10" s="1"/>
  <c r="M81" i="10"/>
  <c r="M80" i="10"/>
  <c r="M79" i="10"/>
  <c r="M77" i="10"/>
  <c r="C77" i="10" s="1"/>
  <c r="M76" i="10"/>
  <c r="N76" i="10" s="1"/>
  <c r="M75" i="10"/>
  <c r="M73" i="10"/>
  <c r="C73" i="10" s="1"/>
  <c r="M72" i="10"/>
  <c r="N72" i="10" s="1"/>
  <c r="M71" i="10"/>
  <c r="M67" i="10"/>
  <c r="M66" i="10"/>
  <c r="M62" i="10"/>
  <c r="M59" i="10"/>
  <c r="M58" i="10"/>
  <c r="M57" i="10"/>
  <c r="M56" i="10"/>
  <c r="M55" i="10"/>
  <c r="M54" i="10"/>
  <c r="C35" i="10"/>
  <c r="N27" i="10"/>
  <c r="B6" i="10"/>
  <c r="C5" i="10"/>
  <c r="N91" i="10" l="1"/>
  <c r="N83" i="10"/>
  <c r="C83" i="10" s="1"/>
  <c r="N85" i="10"/>
  <c r="N75" i="10"/>
  <c r="C11" i="10"/>
  <c r="N67" i="10"/>
  <c r="H27" i="28"/>
  <c r="N81" i="10"/>
  <c r="H26" i="28"/>
  <c r="C55" i="10"/>
  <c r="N59" i="10"/>
  <c r="N54" i="10"/>
  <c r="M28" i="10"/>
  <c r="C34" i="10"/>
  <c r="C28" i="10" l="1"/>
  <c r="H37" i="28" l="1"/>
  <c r="H25" i="28"/>
  <c r="H24" i="28"/>
  <c r="H23" i="28"/>
  <c r="H21" i="28"/>
  <c r="H20" i="28"/>
  <c r="H19" i="28"/>
  <c r="H76" i="28"/>
  <c r="H75" i="28"/>
  <c r="H74" i="28"/>
  <c r="H73" i="28"/>
  <c r="H72" i="28"/>
  <c r="H71" i="28"/>
  <c r="H70" i="28"/>
  <c r="H69" i="28"/>
  <c r="K76" i="28" l="1"/>
  <c r="K37" i="28"/>
  <c r="M37" i="28"/>
  <c r="I204" i="10"/>
  <c r="C127" i="10"/>
  <c r="C92" i="10"/>
  <c r="C91" i="10"/>
  <c r="C89" i="10"/>
  <c r="C86" i="10"/>
  <c r="C93" i="10"/>
  <c r="C85" i="10"/>
  <c r="C81" i="10" l="1"/>
  <c r="C80" i="10"/>
  <c r="L204" i="10"/>
  <c r="K204" i="10"/>
  <c r="M5" i="8"/>
  <c r="L60" i="8"/>
  <c r="K60" i="8"/>
  <c r="J60" i="8"/>
  <c r="I60" i="8"/>
  <c r="H60" i="8"/>
  <c r="C75" i="10" l="1"/>
  <c r="C76" i="10"/>
  <c r="C67" i="10"/>
  <c r="C66" i="10"/>
  <c r="J204" i="10" l="1"/>
  <c r="M204" i="10" s="1"/>
  <c r="C72" i="10"/>
  <c r="C71" i="10"/>
  <c r="C14" i="10" l="1"/>
  <c r="C56" i="10" l="1"/>
  <c r="C54" i="10"/>
  <c r="M59" i="8" l="1"/>
  <c r="M58" i="8"/>
  <c r="M57" i="8"/>
  <c r="M56" i="8"/>
  <c r="M55" i="8"/>
  <c r="M54" i="8"/>
  <c r="M53" i="8"/>
  <c r="M52" i="8"/>
  <c r="M51" i="8"/>
  <c r="M50" i="8"/>
  <c r="M49" i="8"/>
  <c r="M48" i="8"/>
  <c r="M47" i="8"/>
  <c r="M46" i="8"/>
  <c r="M45" i="8"/>
  <c r="M44" i="8"/>
  <c r="M43" i="8"/>
  <c r="M42" i="8"/>
  <c r="M41" i="8"/>
  <c r="M40" i="8"/>
  <c r="M39" i="8"/>
  <c r="M38" i="8"/>
  <c r="M37" i="8"/>
  <c r="M36" i="8"/>
  <c r="M35" i="8"/>
  <c r="M33" i="8"/>
  <c r="M32" i="8"/>
  <c r="M31" i="8"/>
  <c r="M30" i="8"/>
  <c r="M29" i="8"/>
  <c r="M28" i="8"/>
  <c r="M27" i="8"/>
  <c r="M26" i="8"/>
  <c r="M25" i="8"/>
  <c r="M24" i="8"/>
  <c r="M23" i="8"/>
  <c r="M21" i="8"/>
  <c r="M20" i="8"/>
  <c r="M19" i="8"/>
  <c r="M18" i="8"/>
  <c r="M17" i="8"/>
  <c r="M16" i="8"/>
  <c r="M15" i="8"/>
  <c r="M14" i="8"/>
  <c r="M11" i="8"/>
  <c r="M10" i="8"/>
  <c r="M9" i="8"/>
  <c r="M8" i="8"/>
  <c r="M7" i="8"/>
  <c r="M6" i="8"/>
  <c r="M4" i="8"/>
  <c r="M60" i="8" l="1"/>
  <c r="Q4" i="34" s="1"/>
  <c r="C16" i="10"/>
  <c r="C27" i="10" l="1"/>
  <c r="C10" i="10"/>
  <c r="C79" i="10"/>
  <c r="C57" i="10"/>
  <c r="C40" i="10"/>
  <c r="C39" i="10"/>
  <c r="C59" i="10" l="1"/>
  <c r="C42" i="10"/>
  <c r="C8" i="10"/>
  <c r="C62" i="10"/>
  <c r="C30" i="10"/>
  <c r="C15" i="10"/>
  <c r="C58" i="10"/>
  <c r="C60" i="10"/>
  <c r="C31" i="10"/>
  <c r="C13" i="10"/>
  <c r="G8" i="4" l="1"/>
  <c r="G6" i="4"/>
  <c r="G7" i="4" s="1"/>
  <c r="N204" i="10"/>
  <c r="G9" i="4" l="1"/>
  <c r="J61" i="8" l="1"/>
  <c r="C7" i="4" l="1"/>
  <c r="E8" i="35" l="1"/>
  <c r="E3" i="34" l="1"/>
  <c r="G10" i="4" l="1"/>
  <c r="F10" i="4"/>
  <c r="H68" i="28" l="1"/>
  <c r="H60" i="28"/>
  <c r="H59" i="28"/>
  <c r="H57" i="28"/>
  <c r="H52" i="28"/>
  <c r="H51" i="28"/>
  <c r="H50" i="28"/>
  <c r="H49" i="28"/>
  <c r="H48" i="28"/>
  <c r="H42" i="28"/>
  <c r="H30" i="28"/>
  <c r="K30" i="28" s="1"/>
  <c r="H29" i="28"/>
  <c r="H8" i="28"/>
  <c r="H5" i="28"/>
  <c r="H4" i="28"/>
  <c r="K68" i="28" l="1"/>
  <c r="C11" i="4"/>
  <c r="C13" i="4"/>
  <c r="E5" i="35"/>
  <c r="E60" i="8"/>
  <c r="G60" i="8"/>
  <c r="A5" i="4"/>
  <c r="G3" i="34"/>
  <c r="I3" i="34" s="1"/>
  <c r="E3" i="35"/>
  <c r="E2" i="35"/>
  <c r="H3" i="34"/>
  <c r="F50" i="37"/>
  <c r="F12" i="34"/>
  <c r="F11" i="34"/>
  <c r="F10" i="34"/>
  <c r="K7" i="34"/>
  <c r="G7" i="34"/>
  <c r="I7" i="34" s="1"/>
  <c r="F7" i="34"/>
  <c r="H7" i="34" s="1"/>
  <c r="F6" i="34"/>
  <c r="H6" i="34" s="1"/>
  <c r="F5" i="34"/>
  <c r="H5" i="34" s="1"/>
  <c r="F4" i="34"/>
  <c r="H4" i="34" s="1"/>
  <c r="F8" i="34"/>
  <c r="H8" i="34" s="1"/>
  <c r="F9" i="34"/>
  <c r="G39" i="28"/>
  <c r="H39" i="28" s="1"/>
  <c r="G38" i="28"/>
  <c r="H38" i="28" s="1"/>
  <c r="F12" i="4"/>
  <c r="B6" i="4"/>
  <c r="B13" i="4"/>
  <c r="H93" i="28" l="1"/>
  <c r="D48" i="61" s="1"/>
  <c r="F48" i="61" s="1"/>
  <c r="H9" i="34"/>
  <c r="H10" i="34" s="1"/>
  <c r="E4" i="34"/>
  <c r="D5" i="61" s="1"/>
  <c r="M61" i="8"/>
  <c r="G93" i="28"/>
  <c r="G94" i="28" s="1"/>
  <c r="E12" i="34"/>
  <c r="K12" i="34" s="1"/>
  <c r="E6" i="35"/>
  <c r="E14" i="35" s="1"/>
  <c r="E48" i="61" l="1"/>
  <c r="E5" i="61"/>
  <c r="F5" i="61"/>
  <c r="G4" i="34"/>
  <c r="I4" i="34" s="1"/>
  <c r="M63" i="8"/>
  <c r="L12" i="34"/>
  <c r="M12" i="34" s="1"/>
  <c r="G12" i="34"/>
  <c r="L4" i="34"/>
  <c r="M4" i="34" s="1"/>
  <c r="K4" i="34"/>
  <c r="F14" i="35"/>
  <c r="M62" i="8"/>
  <c r="E5" i="34" s="1"/>
  <c r="C19" i="4"/>
  <c r="L5" i="34" l="1"/>
  <c r="M5" i="34" s="1"/>
  <c r="P4" i="34"/>
  <c r="K5" i="34"/>
  <c r="G5" i="34"/>
  <c r="I5" i="34" s="1"/>
  <c r="B7" i="10" l="1"/>
  <c r="M205" i="10"/>
  <c r="B8" i="10" l="1"/>
  <c r="B9" i="10" l="1"/>
  <c r="B10" i="10" s="1"/>
  <c r="B11" i="10" s="1"/>
  <c r="B12" i="10" s="1"/>
  <c r="B13" i="10" s="1"/>
  <c r="B14" i="10" s="1"/>
  <c r="C15" i="4"/>
  <c r="F13" i="4"/>
  <c r="F15" i="4" s="1"/>
  <c r="E25" i="4" l="1"/>
  <c r="B15" i="10"/>
  <c r="B16" i="10" s="1"/>
  <c r="B17" i="10" l="1"/>
  <c r="B27" i="10" s="1"/>
  <c r="B28" i="10" s="1"/>
  <c r="B29" i="10" l="1"/>
  <c r="B30" i="10"/>
  <c r="B31" i="10" s="1"/>
  <c r="B32" i="10" s="1"/>
  <c r="B33" i="10" s="1"/>
  <c r="B34" i="10" s="1"/>
  <c r="B35" i="10" s="1"/>
  <c r="B36" i="10" l="1"/>
  <c r="B38" i="10" l="1"/>
  <c r="B39" i="10" s="1"/>
  <c r="B40" i="10" s="1"/>
  <c r="B41" i="10" s="1"/>
  <c r="B42" i="10" s="1"/>
  <c r="B43" i="10" s="1"/>
  <c r="B44" i="10" l="1"/>
  <c r="B45" i="10" s="1"/>
  <c r="B46" i="10" s="1"/>
  <c r="B47" i="10" s="1"/>
  <c r="B49" i="10" l="1"/>
  <c r="B48" i="10"/>
  <c r="B50" i="10" l="1"/>
  <c r="B51" i="10" s="1"/>
  <c r="B52" i="10" s="1"/>
  <c r="B53" i="10" s="1"/>
  <c r="B54" i="10" s="1"/>
  <c r="B55" i="10" l="1"/>
  <c r="B56" i="10" s="1"/>
  <c r="B57" i="10" s="1"/>
  <c r="B58" i="10" s="1"/>
  <c r="B59" i="10" s="1"/>
  <c r="B60" i="10" s="1"/>
  <c r="B61" i="10" s="1"/>
  <c r="B62" i="10" s="1"/>
  <c r="B63" i="10" s="1"/>
  <c r="B64" i="10" l="1"/>
  <c r="B66" i="10" l="1"/>
  <c r="B67" i="10" s="1"/>
  <c r="B65" i="10"/>
  <c r="E6" i="34" l="1"/>
  <c r="L6" i="34" l="1"/>
  <c r="M6" i="34" s="1"/>
  <c r="G6" i="34"/>
  <c r="I6" i="34" s="1"/>
  <c r="K6" i="34"/>
  <c r="B68" i="10" l="1"/>
  <c r="B69" i="10" s="1"/>
  <c r="B71" i="10" s="1"/>
  <c r="B72" i="10" s="1"/>
  <c r="B73" i="10" s="1"/>
  <c r="B75" i="10" s="1"/>
  <c r="B76" i="10" s="1"/>
  <c r="B77" i="10" s="1"/>
  <c r="B78" i="10" s="1"/>
  <c r="B79" i="10" s="1"/>
  <c r="B80" i="10" s="1"/>
  <c r="B81" i="10" s="1"/>
  <c r="B82" i="10" s="1"/>
  <c r="B83" i="10" s="1"/>
  <c r="B85" i="10" s="1"/>
  <c r="B86" i="10" s="1"/>
  <c r="B88" i="10" s="1"/>
  <c r="B87" i="10" l="1"/>
  <c r="B89" i="10" s="1"/>
  <c r="B90" i="10" s="1"/>
  <c r="B91" i="10" s="1"/>
  <c r="B92" i="10" s="1"/>
  <c r="B93" i="10" s="1"/>
  <c r="B94" i="10" s="1"/>
  <c r="B96" i="10" s="1"/>
  <c r="B97" i="10" l="1"/>
  <c r="B99" i="10" l="1"/>
  <c r="B100" i="10" s="1"/>
  <c r="B101" i="10" s="1"/>
  <c r="B98" i="10"/>
  <c r="B102" i="10" l="1"/>
  <c r="B104" i="10" s="1"/>
  <c r="B105" i="10" s="1"/>
  <c r="B106" i="10" s="1"/>
  <c r="B107" i="10" s="1"/>
  <c r="B108" i="10" s="1"/>
  <c r="B109" i="10" s="1"/>
  <c r="B110" i="10" s="1"/>
  <c r="B111" i="10" l="1"/>
  <c r="B113" i="10" s="1"/>
  <c r="B114" i="10" s="1"/>
  <c r="B115" i="10" s="1"/>
  <c r="B116" i="10" s="1"/>
  <c r="B117" i="10" s="1"/>
  <c r="B118" i="10" s="1"/>
  <c r="B119" i="10" s="1"/>
  <c r="B121" i="10" s="1"/>
  <c r="B122" i="10" s="1"/>
  <c r="B124" i="10" l="1"/>
  <c r="B125" i="10" s="1"/>
  <c r="B126" i="10" s="1"/>
  <c r="B127" i="10" s="1"/>
  <c r="B128" i="10" s="1"/>
  <c r="B129" i="10" l="1"/>
  <c r="B131" i="10"/>
  <c r="B132" i="10" s="1"/>
  <c r="B133" i="10" l="1"/>
  <c r="B134" i="10" s="1"/>
  <c r="B135" i="10" s="1"/>
  <c r="B136" i="10" s="1"/>
  <c r="B137" i="10" s="1"/>
  <c r="B138" i="10" s="1"/>
  <c r="B139" i="10" s="1"/>
  <c r="B140" i="10" s="1"/>
  <c r="B143" i="10" s="1"/>
  <c r="B144" i="10" l="1"/>
  <c r="B145" i="10" s="1"/>
  <c r="B146" i="10" s="1"/>
  <c r="B147" i="10" s="1"/>
  <c r="B148" i="10" s="1"/>
  <c r="B149" i="10" s="1"/>
  <c r="B150" i="10" s="1"/>
  <c r="B151" i="10" s="1"/>
  <c r="B152" i="10" s="1"/>
  <c r="B154" i="10" l="1"/>
  <c r="B155" i="10" s="1"/>
  <c r="B157" i="10" s="1"/>
  <c r="B158" i="10" s="1"/>
  <c r="B159" i="10" s="1"/>
  <c r="B160" i="10" s="1"/>
  <c r="B161" i="10" s="1"/>
  <c r="B162" i="10" s="1"/>
  <c r="B163" i="10" s="1"/>
  <c r="B164" i="10" s="1"/>
  <c r="B165" i="10" s="1"/>
  <c r="B166" i="10" s="1"/>
  <c r="B167" i="10" l="1"/>
  <c r="B168" i="10" s="1"/>
  <c r="B169" i="10" l="1"/>
  <c r="B171" i="10" l="1"/>
  <c r="B172" i="10" s="1"/>
  <c r="B173" i="10" s="1"/>
  <c r="B174" i="10" s="1"/>
  <c r="B175" i="10" s="1"/>
  <c r="B177" i="10" l="1"/>
  <c r="B178" i="10" s="1"/>
  <c r="B179" i="10" s="1"/>
  <c r="B180" i="10" s="1"/>
  <c r="B181" i="10" l="1"/>
  <c r="B182" i="10" s="1"/>
  <c r="B185" i="10" l="1"/>
  <c r="B186" i="10" s="1"/>
  <c r="B187" i="10" s="1"/>
  <c r="B183" i="10"/>
  <c r="B188" i="10" l="1"/>
  <c r="B190" i="10" l="1"/>
  <c r="B191" i="10" s="1"/>
  <c r="B192" i="10" s="1"/>
  <c r="B193" i="10" s="1"/>
  <c r="B195" i="10" s="1"/>
  <c r="B196" i="10" s="1"/>
  <c r="B197" i="10" s="1"/>
  <c r="B198" i="10" s="1"/>
  <c r="B199" i="10" s="1"/>
  <c r="B200" i="10" l="1"/>
  <c r="B202" i="10" l="1"/>
  <c r="B203" i="10" s="1"/>
  <c r="N205" i="10" l="1"/>
  <c r="N205" i="62"/>
  <c r="J8" i="34"/>
  <c r="N206" i="10"/>
  <c r="M206" i="10"/>
  <c r="N206" i="62"/>
  <c r="M206" i="62"/>
  <c r="C204" i="62"/>
  <c r="C181" i="62"/>
  <c r="M181" i="62"/>
  <c r="G14" i="34"/>
  <c r="G11" i="34"/>
  <c r="I10" i="34"/>
  <c r="I9" i="34"/>
  <c r="M8" i="34"/>
  <c r="L8" i="34"/>
  <c r="O8" i="34"/>
  <c r="E47" i="61"/>
  <c r="D47" i="61"/>
  <c r="F47" i="61"/>
  <c r="I8" i="34"/>
  <c r="N8" i="34"/>
  <c r="C24" i="4"/>
  <c r="F18" i="61"/>
  <c r="E18" i="61"/>
  <c r="D18" i="61"/>
  <c r="D49" i="61"/>
  <c r="J10" i="34"/>
  <c r="J11" i="34"/>
  <c r="Q6" i="34"/>
  <c r="E14" i="34"/>
  <c r="M9" i="34"/>
  <c r="L9" i="34"/>
  <c r="F17" i="35"/>
  <c r="C20" i="4"/>
  <c r="C22" i="4"/>
  <c r="E11" i="34"/>
  <c r="E17" i="35"/>
  <c r="E19" i="35"/>
  <c r="G8" i="34"/>
  <c r="J9" i="34"/>
  <c r="K9" i="34"/>
  <c r="K8" i="34"/>
  <c r="P6" i="34"/>
  <c r="E46" i="61"/>
  <c r="M181" i="10"/>
  <c r="C181" i="10"/>
  <c r="C204" i="10"/>
  <c r="E8" i="34"/>
  <c r="E9" i="34"/>
  <c r="G9" i="34"/>
  <c r="D46" i="61"/>
  <c r="F46" i="61"/>
</calcChain>
</file>

<file path=xl/sharedStrings.xml><?xml version="1.0" encoding="utf-8"?>
<sst xmlns="http://schemas.openxmlformats.org/spreadsheetml/2006/main" count="2543" uniqueCount="738">
  <si>
    <t>Street Lighting</t>
  </si>
  <si>
    <t>Insurance</t>
  </si>
  <si>
    <t>Audit</t>
  </si>
  <si>
    <t>Date</t>
  </si>
  <si>
    <t>Details</t>
  </si>
  <si>
    <t>VAT</t>
  </si>
  <si>
    <t>TOTAL</t>
  </si>
  <si>
    <t>TOTALS</t>
  </si>
  <si>
    <t>Precept</t>
  </si>
  <si>
    <t>Interest</t>
  </si>
  <si>
    <t>Grant</t>
  </si>
  <si>
    <t>Account</t>
  </si>
  <si>
    <t>Balance</t>
  </si>
  <si>
    <t>Vat</t>
  </si>
  <si>
    <t>Misc</t>
  </si>
  <si>
    <t>Total</t>
  </si>
  <si>
    <t>Closing Date</t>
  </si>
  <si>
    <t>ledger balance current account</t>
  </si>
  <si>
    <t>Per cash book</t>
  </si>
  <si>
    <t>Balance b/f</t>
  </si>
  <si>
    <t>Add receipts for year</t>
  </si>
  <si>
    <t>less payments for the year</t>
  </si>
  <si>
    <t>Office expenses</t>
  </si>
  <si>
    <t>Burial Board</t>
  </si>
  <si>
    <t>NALC. Acre,Competitions</t>
  </si>
  <si>
    <t>Village Hall Hire</t>
  </si>
  <si>
    <t>Allotment Rents</t>
  </si>
  <si>
    <t xml:space="preserve">  </t>
  </si>
  <si>
    <t>Interest/ Charges</t>
  </si>
  <si>
    <t xml:space="preserve">TOTALS  </t>
  </si>
  <si>
    <t xml:space="preserve">Total cash:   </t>
  </si>
  <si>
    <t xml:space="preserve">Balance c/f:   </t>
  </si>
  <si>
    <t>Payee</t>
  </si>
  <si>
    <t>Plus uncleared receipts</t>
  </si>
  <si>
    <t>Total cash</t>
  </si>
  <si>
    <t>Less uncleared payts &amp; cheques</t>
  </si>
  <si>
    <t>Available funds:</t>
  </si>
  <si>
    <t xml:space="preserve">Section   137 </t>
  </si>
  <si>
    <t>RECEIPTS</t>
  </si>
  <si>
    <t xml:space="preserve">Difference </t>
  </si>
  <si>
    <t>Cleared?</t>
  </si>
  <si>
    <t>Receipts</t>
  </si>
  <si>
    <t>Payments</t>
  </si>
  <si>
    <t>Balances</t>
  </si>
  <si>
    <t xml:space="preserve">-  A bank &amp; budget reconciliation </t>
  </si>
  <si>
    <t xml:space="preserve">On any page, click on </t>
  </si>
  <si>
    <t>Bank balances at</t>
  </si>
  <si>
    <t>Bank balances at:</t>
  </si>
  <si>
    <t>Training budget</t>
  </si>
  <si>
    <t>-  A list of all the Parish Council's assets</t>
  </si>
  <si>
    <t>to come back to this page</t>
  </si>
  <si>
    <t>Preschool Lease</t>
  </si>
  <si>
    <t>Tailored reserve</t>
  </si>
  <si>
    <t>Admin Costs</t>
  </si>
  <si>
    <t>Reserves</t>
  </si>
  <si>
    <t>NETT</t>
  </si>
  <si>
    <t xml:space="preserve"> </t>
  </si>
  <si>
    <t>Hangout area</t>
  </si>
  <si>
    <t xml:space="preserve">Ref No.   </t>
  </si>
  <si>
    <t>Description</t>
  </si>
  <si>
    <t>Identification</t>
  </si>
  <si>
    <t>Date acquired</t>
  </si>
  <si>
    <t>Location</t>
  </si>
  <si>
    <t xml:space="preserve">Insurance Value </t>
  </si>
  <si>
    <t>Disposal / Discharge</t>
  </si>
  <si>
    <t>Explanation for variance</t>
  </si>
  <si>
    <t>none</t>
  </si>
  <si>
    <t xml:space="preserve">Allotments </t>
  </si>
  <si>
    <t>Grid ref TL057968</t>
  </si>
  <si>
    <t>St Mary's Way, Nassington</t>
  </si>
  <si>
    <t>Playing field</t>
  </si>
  <si>
    <t>Grid ref TL066959</t>
  </si>
  <si>
    <t>Fotheringhay Rd, Nassington</t>
  </si>
  <si>
    <t>Pocket park</t>
  </si>
  <si>
    <t>Grid ref TL060963</t>
  </si>
  <si>
    <t>Autumn 1981</t>
  </si>
  <si>
    <t>Apetorpe R, Nassington</t>
  </si>
  <si>
    <t>Insurance ref ITEM 1</t>
  </si>
  <si>
    <t>BUILDINGS</t>
  </si>
  <si>
    <t>On playing field grid ref TL066959</t>
  </si>
  <si>
    <t>The previous valuation was based on the actual cost of the building plus the insurer's index linked increase of 5% pa - the new valuation is based on a builder's estimate of how much the building would cost to insure)</t>
  </si>
  <si>
    <t>Sports Pavilion 1969/1993 (renovated)</t>
  </si>
  <si>
    <t>1969 / 1993</t>
  </si>
  <si>
    <t>STREET FURNITURE</t>
  </si>
  <si>
    <t>The index linked increase was not felt to be sufficient to cover the replacement cost of the bus shelter</t>
  </si>
  <si>
    <t xml:space="preserve">a.  </t>
  </si>
  <si>
    <t>Bus Shelter</t>
  </si>
  <si>
    <t>N/A</t>
  </si>
  <si>
    <t>Apethorpe Rd/Norhtfields Lane, PE8 6QG</t>
  </si>
  <si>
    <t xml:space="preserve">b.  </t>
  </si>
  <si>
    <t xml:space="preserve">7 Garden Seats </t>
  </si>
  <si>
    <t>Pocket Park</t>
  </si>
  <si>
    <t>1990</t>
  </si>
  <si>
    <t>Pocket Park, Apethorpe Rd</t>
  </si>
  <si>
    <t>Alf Parrish memorial seat</t>
  </si>
  <si>
    <t>?</t>
  </si>
  <si>
    <t>Village Green, Church St</t>
  </si>
  <si>
    <t>Coronation Seat</t>
  </si>
  <si>
    <t>1953</t>
  </si>
  <si>
    <t>Church Street, near church</t>
  </si>
  <si>
    <t>St Mary's Way</t>
  </si>
  <si>
    <t>Churchyard Green</t>
  </si>
  <si>
    <t>John Rogers memorial bench</t>
  </si>
  <si>
    <t>Parkway Green</t>
  </si>
  <si>
    <t>Peter Pickering memorial bench</t>
  </si>
  <si>
    <t>2000</t>
  </si>
  <si>
    <t>Coal Yard Green</t>
  </si>
  <si>
    <t>2007</t>
  </si>
  <si>
    <t>Village Sign</t>
  </si>
  <si>
    <t>Village Green</t>
  </si>
  <si>
    <t>On village green opposite Nassington House</t>
  </si>
  <si>
    <t>Undervalued on previous asset register</t>
  </si>
  <si>
    <t>Notice Boards</t>
  </si>
  <si>
    <t xml:space="preserve">c.  </t>
  </si>
  <si>
    <t>35 column lamps</t>
  </si>
  <si>
    <t>Various at £340 each</t>
  </si>
  <si>
    <t>Previously under valued.  New values as per list prices from ABB, the suppliers and inventory carried out</t>
  </si>
  <si>
    <t>16 bracket lamps</t>
  </si>
  <si>
    <t>Various at £450 each</t>
  </si>
  <si>
    <t>d</t>
  </si>
  <si>
    <t>Litter Bins</t>
  </si>
  <si>
    <t>GATES &amp; FENCES</t>
  </si>
  <si>
    <t>Hoop Fencing for Playing Field Car Park</t>
  </si>
  <si>
    <t>Playing field car park</t>
  </si>
  <si>
    <t>Omitted from previous asset register due to clerical error</t>
  </si>
  <si>
    <t>PLAYGROUND EQUIPMENT</t>
  </si>
  <si>
    <t>Wooden climbing frame</t>
  </si>
  <si>
    <t>Demolished May 2007</t>
  </si>
  <si>
    <t>Replaced in May 2007</t>
  </si>
  <si>
    <t>Set of swings</t>
  </si>
  <si>
    <t>late 60s</t>
  </si>
  <si>
    <t>Rocking Horse</t>
  </si>
  <si>
    <t>1971</t>
  </si>
  <si>
    <t>Goal Posts</t>
  </si>
  <si>
    <t>2008</t>
  </si>
  <si>
    <t xml:space="preserve">Slide </t>
  </si>
  <si>
    <t>Maid Marion Unit</t>
  </si>
  <si>
    <t>2002</t>
  </si>
  <si>
    <t>Spring Elephant See Saw</t>
  </si>
  <si>
    <t xml:space="preserve">Spring Elephant </t>
  </si>
  <si>
    <t>Park Bench</t>
  </si>
  <si>
    <t>Included in benches above</t>
  </si>
  <si>
    <t>Burma Bridge</t>
  </si>
  <si>
    <t>Zip Slide</t>
  </si>
  <si>
    <t>Impact Attenuating Surface</t>
  </si>
  <si>
    <t>OFFICE CONTENTS</t>
  </si>
  <si>
    <t>Computer, printer, photocopier-iep</t>
  </si>
  <si>
    <t>Obsolete eqipment</t>
  </si>
  <si>
    <t>Computer screen</t>
  </si>
  <si>
    <t>computer switcher</t>
  </si>
  <si>
    <t>office chair</t>
  </si>
  <si>
    <t>Bookcase for Millennium Book, in Church</t>
  </si>
  <si>
    <t xml:space="preserve">Stand for Bookcase in Church </t>
  </si>
  <si>
    <t>MOWERS &amp; SIMILAR EQUIPMENT</t>
  </si>
  <si>
    <t>Year Ending</t>
  </si>
  <si>
    <t>Balances    brought forward</t>
  </si>
  <si>
    <t>(+) Annual Precept</t>
  </si>
  <si>
    <t>(+) Total other receipts</t>
  </si>
  <si>
    <t>(-) Staff Costs</t>
  </si>
  <si>
    <t>(-) Loan interest/capital repayments</t>
  </si>
  <si>
    <t>(-) Total other payments</t>
  </si>
  <si>
    <t>(=) Balances carried forward</t>
  </si>
  <si>
    <t>Total cash and investments</t>
  </si>
  <si>
    <t>Total fixed assets and long term assets</t>
  </si>
  <si>
    <t>Total borrowings</t>
  </si>
  <si>
    <t>Bank Account(s):</t>
  </si>
  <si>
    <t>Current (Tailored account)</t>
  </si>
  <si>
    <t>(list all bank accounts)</t>
  </si>
  <si>
    <t>Tailored deposit</t>
  </si>
  <si>
    <t>None</t>
  </si>
  <si>
    <t>Add Petty Cash:</t>
  </si>
  <si>
    <t>Add Investments:</t>
  </si>
  <si>
    <t>(note: a market value for investments should be obtained)</t>
  </si>
  <si>
    <t>Box No</t>
  </si>
  <si>
    <t>Last year</t>
  </si>
  <si>
    <t>This year</t>
  </si>
  <si>
    <t>Difference</t>
  </si>
  <si>
    <t xml:space="preserve">Explanation </t>
  </si>
  <si>
    <t>Analysis</t>
  </si>
  <si>
    <t>%</t>
  </si>
  <si>
    <t>£</t>
  </si>
  <si>
    <t>% (+/-)</t>
  </si>
  <si>
    <t>(If larger than £100 and 10%)</t>
  </si>
  <si>
    <t>2   precept</t>
  </si>
  <si>
    <t>3          other recs</t>
  </si>
  <si>
    <t>4          staff costs</t>
  </si>
  <si>
    <t>6         other payts</t>
  </si>
  <si>
    <t>7 bal c/fwd</t>
  </si>
  <si>
    <t>8 cash &amp; investments</t>
  </si>
  <si>
    <t>Date of invoice</t>
  </si>
  <si>
    <t>Supplier's VAT    registration number</t>
  </si>
  <si>
    <t>Brief description of supply</t>
  </si>
  <si>
    <t>To whom addressed</t>
  </si>
  <si>
    <t>VAT Paid</t>
  </si>
  <si>
    <t>Less unpresented payments</t>
  </si>
  <si>
    <t>Add uncleared receipts</t>
  </si>
  <si>
    <t>9 Total fixed assets and long term assets</t>
  </si>
  <si>
    <r>
      <t>am claiming a refund o</t>
    </r>
    <r>
      <rPr>
        <sz val="11"/>
        <rFont val="Arial"/>
        <family val="2"/>
      </rPr>
      <t>f: EIGHT HUNDRED AND FORTY FIVE POUNDS AND 36pence</t>
    </r>
  </si>
  <si>
    <t>Bank reconciliation for audit</t>
  </si>
  <si>
    <t>Difference     £</t>
  </si>
  <si>
    <t>Difference %</t>
  </si>
  <si>
    <t>Elections</t>
  </si>
  <si>
    <t>Hang out area seat</t>
  </si>
  <si>
    <t>Less Uncleared payments:</t>
  </si>
  <si>
    <t>5 (-) Loan interest/capital repayments</t>
  </si>
  <si>
    <t xml:space="preserve">-  Cash book showing what we've spent </t>
  </si>
  <si>
    <t>-  Cash book showing what money we've received</t>
  </si>
  <si>
    <t>Highways / amenities</t>
  </si>
  <si>
    <t>Date paid / minuted</t>
  </si>
  <si>
    <t>a</t>
  </si>
  <si>
    <t>Details                                                           (click on hyperlinks to view invoices)</t>
  </si>
  <si>
    <t xml:space="preserve">Footpaths / Environment </t>
  </si>
  <si>
    <t>m</t>
  </si>
  <si>
    <t>j</t>
  </si>
  <si>
    <t>s</t>
  </si>
  <si>
    <t>n</t>
  </si>
  <si>
    <t>f</t>
  </si>
  <si>
    <t>b</t>
  </si>
  <si>
    <t>c</t>
  </si>
  <si>
    <t>g</t>
  </si>
  <si>
    <t>h</t>
  </si>
  <si>
    <t>i</t>
  </si>
  <si>
    <t>k</t>
  </si>
  <si>
    <t>p</t>
  </si>
  <si>
    <t>r</t>
  </si>
  <si>
    <t>t</t>
  </si>
  <si>
    <t>u</t>
  </si>
  <si>
    <t>v</t>
  </si>
  <si>
    <t>x</t>
  </si>
  <si>
    <t>y</t>
  </si>
  <si>
    <t>z</t>
  </si>
  <si>
    <t>aa</t>
  </si>
  <si>
    <t>bb</t>
  </si>
  <si>
    <t>2016/17</t>
  </si>
  <si>
    <t>CURRENT value since 2014/15 asset register</t>
  </si>
  <si>
    <t>Farmy Multi-User Seesaw</t>
  </si>
  <si>
    <t>HAGS HS8045081</t>
  </si>
  <si>
    <t xml:space="preserve">Merry Roundabout  </t>
  </si>
  <si>
    <t xml:space="preserve">HAGS  HAG8002462 </t>
  </si>
  <si>
    <t xml:space="preserve">UniPlay Iktaz (wood)  </t>
  </si>
  <si>
    <t>HAGS8049073</t>
  </si>
  <si>
    <t xml:space="preserve">WET-RUBBARK   </t>
  </si>
  <si>
    <t>Bonded rubber mulch surfacing</t>
  </si>
  <si>
    <t>Mats Zipwire</t>
  </si>
  <si>
    <t>HAG8036747</t>
  </si>
  <si>
    <t>Grass mattingsurfacing</t>
  </si>
  <si>
    <t>RP400S</t>
  </si>
  <si>
    <t>broken</t>
  </si>
  <si>
    <t>Highways</t>
  </si>
  <si>
    <t>Defib pads</t>
  </si>
  <si>
    <t>Current account</t>
  </si>
  <si>
    <t>£ Difference</t>
  </si>
  <si>
    <t>VH Grant</t>
  </si>
  <si>
    <t>Cost Point / budget expenditure analysis</t>
  </si>
  <si>
    <t>Pockit</t>
  </si>
  <si>
    <t>Pockit prepayment card (petty cash)</t>
  </si>
  <si>
    <t>Pockit card</t>
  </si>
  <si>
    <t xml:space="preserve">Less Uncleared receipts </t>
  </si>
  <si>
    <t>EYFS Equipment</t>
  </si>
  <si>
    <t>Komplan</t>
  </si>
  <si>
    <t>2019</t>
  </si>
  <si>
    <t>Churchyard Path</t>
  </si>
  <si>
    <t>Lane to playing fied</t>
  </si>
  <si>
    <t>Check</t>
  </si>
  <si>
    <t>Memorial bench in churchyard</t>
  </si>
  <si>
    <t xml:space="preserve">Churchyard </t>
  </si>
  <si>
    <t>Pre-paid debit card</t>
  </si>
  <si>
    <t>Streetlighting</t>
  </si>
  <si>
    <t>Cohesion reserve</t>
  </si>
  <si>
    <t>check</t>
  </si>
  <si>
    <t xml:space="preserve">Playing Field/Sports Assoc </t>
  </si>
  <si>
    <t>Allotments</t>
  </si>
  <si>
    <t>Grant to History Group</t>
  </si>
  <si>
    <t>Community &amp; Running Costs</t>
  </si>
  <si>
    <t>Professional fees</t>
  </si>
  <si>
    <t>HAGS</t>
  </si>
  <si>
    <t>All the play and gym equipment is sited on the village playing field, grid reference TL066959</t>
  </si>
  <si>
    <t>Ski stepper</t>
  </si>
  <si>
    <t>Outdoor Gym</t>
  </si>
  <si>
    <t>Rower</t>
  </si>
  <si>
    <t>Equipment, matting plus installation</t>
  </si>
  <si>
    <t>Air Walker</t>
  </si>
  <si>
    <t>Lat pull &amp; chest press</t>
  </si>
  <si>
    <t>Sit up</t>
  </si>
  <si>
    <t>Parallel rails</t>
  </si>
  <si>
    <t>Push hands</t>
  </si>
  <si>
    <t>Siganage, fencing</t>
  </si>
  <si>
    <t>Eco-timber moulded benches</t>
  </si>
  <si>
    <t>By the splash in Runnel Lane</t>
  </si>
  <si>
    <t>Coalyard island</t>
  </si>
  <si>
    <t>Entrance to Wilgar bridge field</t>
  </si>
  <si>
    <t>Old shelter St Marys Close</t>
  </si>
  <si>
    <t>St Marys Green</t>
  </si>
  <si>
    <t>Eastfield Cresent</t>
  </si>
  <si>
    <t>Northfield Lane</t>
  </si>
  <si>
    <t>Replaced 2020</t>
  </si>
  <si>
    <t>Komplan and playscapes</t>
  </si>
  <si>
    <t>New noticeboard</t>
  </si>
  <si>
    <t>Village hall</t>
  </si>
  <si>
    <t>Community Assets</t>
  </si>
  <si>
    <t>Christmas lights</t>
  </si>
  <si>
    <t>Outdoor socket box</t>
  </si>
  <si>
    <t>Electric lead and timer</t>
  </si>
  <si>
    <t>Electic cable</t>
  </si>
  <si>
    <t>NDP</t>
  </si>
  <si>
    <t>Y/E 31/3/22</t>
  </si>
  <si>
    <t xml:space="preserve"> Salary  </t>
  </si>
  <si>
    <t xml:space="preserve"> Office expenses </t>
  </si>
  <si>
    <t xml:space="preserve"> Professional fees </t>
  </si>
  <si>
    <t xml:space="preserve"> Website </t>
  </si>
  <si>
    <t xml:space="preserve"> Street Lighting </t>
  </si>
  <si>
    <t xml:space="preserve"> Playing Field  </t>
  </si>
  <si>
    <t xml:space="preserve"> Footpaths / Environment  </t>
  </si>
  <si>
    <t xml:space="preserve"> Burial Board </t>
  </si>
  <si>
    <t xml:space="preserve"> Insurance </t>
  </si>
  <si>
    <t xml:space="preserve"> Meeting facilitation </t>
  </si>
  <si>
    <t xml:space="preserve"> Audit </t>
  </si>
  <si>
    <t xml:space="preserve"> Allotment Expenditure </t>
  </si>
  <si>
    <t xml:space="preserve"> churchyard </t>
  </si>
  <si>
    <t xml:space="preserve"> Contingency / c'man's allowance </t>
  </si>
  <si>
    <t xml:space="preserve"> VH Grant </t>
  </si>
  <si>
    <t xml:space="preserve"> Highways / amenities </t>
  </si>
  <si>
    <t xml:space="preserve"> History Group </t>
  </si>
  <si>
    <t xml:space="preserve"> NDP project </t>
  </si>
  <si>
    <t xml:space="preserve"> NALC &amp; SLCC </t>
  </si>
  <si>
    <t>Chq No/Trans type</t>
  </si>
  <si>
    <t>Tree works</t>
  </si>
  <si>
    <t>Nationwide 95 day saver</t>
  </si>
  <si>
    <t>Less adjustment: Uncleared payments:</t>
  </si>
  <si>
    <t>Communications</t>
  </si>
  <si>
    <t>A village hall grant was not made in 21/22</t>
  </si>
  <si>
    <t>There was an uncontested election in May 21</t>
  </si>
  <si>
    <t>Cohesion/wellbeing</t>
  </si>
  <si>
    <t>The council is purposefully building reserves  This is due to a community need for a new village hall / community hub.  This requirement is one of the primary reasons the council is in the process of undertaking a Neighbourhood Development Plan</t>
  </si>
  <si>
    <t xml:space="preserve">Pocket Park picnic bench </t>
  </si>
  <si>
    <t>Parkway benck</t>
  </si>
  <si>
    <t xml:space="preserve">Village Hall </t>
  </si>
  <si>
    <t>Road</t>
  </si>
  <si>
    <t>Path</t>
  </si>
  <si>
    <t>Path to playing field</t>
  </si>
  <si>
    <t>From green to playing field</t>
  </si>
  <si>
    <t>Asset value</t>
  </si>
  <si>
    <t>-  An explantation for the auditors of all differences above 15% between this and last year</t>
  </si>
  <si>
    <t>31 March 2022     £</t>
  </si>
  <si>
    <t>Rounded</t>
  </si>
  <si>
    <t xml:space="preserve"> Cohesion / wellbeing </t>
  </si>
  <si>
    <t>553 7696 03</t>
  </si>
  <si>
    <t>Electricity supply</t>
  </si>
  <si>
    <t>Nassington Parish Council</t>
  </si>
  <si>
    <t xml:space="preserve">553 7696 03 </t>
  </si>
  <si>
    <t>website support</t>
  </si>
  <si>
    <t>559 0978 89</t>
  </si>
  <si>
    <t>Safety inspection</t>
  </si>
  <si>
    <t>182 1470 21</t>
  </si>
  <si>
    <t xml:space="preserve">website </t>
  </si>
  <si>
    <t>credit electricity supply adjustment refund</t>
  </si>
  <si>
    <t>187 5510 82</t>
  </si>
  <si>
    <t>352 3022 43</t>
  </si>
  <si>
    <t>Streetlighting maintenance</t>
  </si>
  <si>
    <t>881 6035 19</t>
  </si>
  <si>
    <t>concrete mix</t>
  </si>
  <si>
    <t>440 4982 50</t>
  </si>
  <si>
    <t>audit fee</t>
  </si>
  <si>
    <t>344 3763 51</t>
  </si>
  <si>
    <t>groundsworks</t>
  </si>
  <si>
    <t>planning consultant</t>
  </si>
  <si>
    <t>219 7862 28</t>
  </si>
  <si>
    <t>bench &amp; accessory</t>
  </si>
  <si>
    <t>185 9915 48</t>
  </si>
  <si>
    <t xml:space="preserve">185 9915 48 </t>
  </si>
  <si>
    <t>370 15812 34</t>
  </si>
  <si>
    <t>Refuse collections</t>
  </si>
  <si>
    <t>Financial Statement for year:</t>
  </si>
  <si>
    <t>329 7405 83</t>
  </si>
  <si>
    <t>equipment hire</t>
  </si>
  <si>
    <t>735 9890 80</t>
  </si>
  <si>
    <t>carpet</t>
  </si>
  <si>
    <t>Jubilee sundries</t>
  </si>
  <si>
    <t>727 2558 21</t>
  </si>
  <si>
    <t>306 4897 83</t>
  </si>
  <si>
    <t>216 0897 07</t>
  </si>
  <si>
    <t>720 2930 69</t>
  </si>
  <si>
    <t>facilities for jubilee</t>
  </si>
  <si>
    <t>87 63283 89</t>
  </si>
  <si>
    <t>Nationwide account</t>
  </si>
  <si>
    <t>Does the total equal Box 8 in Section 2 of the Annual Return?</t>
  </si>
  <si>
    <t>What is the figure in Box 8 in Section 2 of the Annual Return?</t>
  </si>
  <si>
    <t>Receipts, payments and budget for the financial year ending 31st March 2023</t>
  </si>
  <si>
    <t>Safety reserve</t>
  </si>
  <si>
    <t>New during 2022/23</t>
  </si>
  <si>
    <t>Total for Audit</t>
  </si>
  <si>
    <t>2021/22 valuation of £700 each is based on current prevailing market prices researched from suppliers via the internet</t>
  </si>
  <si>
    <r>
      <rPr>
        <sz val="10"/>
        <rFont val="Calibri"/>
        <family val="2"/>
        <scheme val="minor"/>
      </rPr>
      <t xml:space="preserve">DESCRIPTION </t>
    </r>
  </si>
  <si>
    <t xml:space="preserve">21 Jun </t>
  </si>
  <si>
    <t xml:space="preserve">Paypal *Bqlimited 03330143357 </t>
  </si>
  <si>
    <t>SIDstraps</t>
  </si>
  <si>
    <t xml:space="preserve">14 Jun </t>
  </si>
  <si>
    <t xml:space="preserve">Amznmktplace Amazon.Co London </t>
  </si>
  <si>
    <t>VGA cable</t>
  </si>
  <si>
    <t xml:space="preserve">Pp*Tcgflorist Wisbech </t>
  </si>
  <si>
    <t xml:space="preserve">11 Jun </t>
  </si>
  <si>
    <t xml:space="preserve">Pockit Standard </t>
  </si>
  <si>
    <t xml:space="preserve">10 Jun </t>
  </si>
  <si>
    <t xml:space="preserve">PREPAID ECASH </t>
  </si>
  <si>
    <t xml:space="preserve">07 Jun </t>
  </si>
  <si>
    <t>Chairmans allowance</t>
  </si>
  <si>
    <r>
      <rPr>
        <sz val="10"/>
        <rFont val="Calibri"/>
        <family val="2"/>
        <scheme val="minor"/>
      </rPr>
      <t xml:space="preserve">03 Jun </t>
    </r>
  </si>
  <si>
    <r>
      <rPr>
        <sz val="10"/>
        <rFont val="Calibri"/>
        <family val="2"/>
        <scheme val="minor"/>
      </rPr>
      <t xml:space="preserve">Hobbycraft Peterborough </t>
    </r>
  </si>
  <si>
    <t>party decs</t>
  </si>
  <si>
    <r>
      <rPr>
        <sz val="10"/>
        <rFont val="Calibri"/>
        <family val="2"/>
        <scheme val="minor"/>
      </rPr>
      <t xml:space="preserve">The Party Place Peterborough </t>
    </r>
  </si>
  <si>
    <t>bunting</t>
  </si>
  <si>
    <r>
      <rPr>
        <sz val="10"/>
        <rFont val="Calibri"/>
        <family val="2"/>
        <scheme val="minor"/>
      </rPr>
      <t xml:space="preserve">02 Jun </t>
    </r>
  </si>
  <si>
    <r>
      <rPr>
        <sz val="10"/>
        <rFont val="Calibri"/>
        <family val="2"/>
        <scheme val="minor"/>
      </rPr>
      <t xml:space="preserve">Asda Stores 4811 Peterborough </t>
    </r>
  </si>
  <si>
    <t>solar sticks</t>
  </si>
  <si>
    <t xml:space="preserve">01 Jun </t>
  </si>
  <si>
    <r>
      <rPr>
        <sz val="10"/>
        <rFont val="Calibri"/>
        <family val="2"/>
        <scheme val="minor"/>
      </rPr>
      <t xml:space="preserve">01 Jun </t>
    </r>
  </si>
  <si>
    <r>
      <rPr>
        <sz val="10"/>
        <rFont val="Calibri"/>
        <family val="2"/>
        <scheme val="minor"/>
      </rPr>
      <t xml:space="preserve">Stibbington Diner Peterborough </t>
    </r>
  </si>
  <si>
    <t xml:space="preserve">bacon rolls for marquee </t>
  </si>
  <si>
    <r>
      <rPr>
        <sz val="10"/>
        <rFont val="Calibri"/>
        <family val="2"/>
        <scheme val="minor"/>
      </rPr>
      <t xml:space="preserve">30 May </t>
    </r>
  </si>
  <si>
    <r>
      <rPr>
        <sz val="10"/>
        <rFont val="Calibri"/>
        <family val="2"/>
        <scheme val="minor"/>
      </rPr>
      <t xml:space="preserve">Paypal *Partyplasti 35314369001 </t>
    </r>
  </si>
  <si>
    <t>Duke glasses</t>
  </si>
  <si>
    <r>
      <rPr>
        <sz val="10"/>
        <rFont val="Calibri"/>
        <family val="2"/>
        <scheme val="minor"/>
      </rPr>
      <t xml:space="preserve">26 May </t>
    </r>
  </si>
  <si>
    <r>
      <rPr>
        <sz val="10"/>
        <rFont val="Calibri"/>
        <family val="2"/>
        <scheme val="minor"/>
      </rPr>
      <t xml:space="preserve">Amznmktplace Amazon.Co.Uk </t>
    </r>
  </si>
  <si>
    <t>stage backing curtains</t>
  </si>
  <si>
    <t>bins</t>
  </si>
  <si>
    <r>
      <rPr>
        <sz val="10"/>
        <rFont val="Calibri"/>
        <family val="2"/>
        <scheme val="minor"/>
      </rPr>
      <t xml:space="preserve">24 May </t>
    </r>
  </si>
  <si>
    <r>
      <rPr>
        <sz val="10"/>
        <rFont val="Calibri"/>
        <family val="2"/>
        <scheme val="minor"/>
      </rPr>
      <t xml:space="preserve">Mower Express Ltd Nottingham 1 </t>
    </r>
  </si>
  <si>
    <r>
      <rPr>
        <sz val="10"/>
        <rFont val="Calibri"/>
        <family val="2"/>
        <scheme val="minor"/>
      </rPr>
      <t xml:space="preserve">Amznmktplace Amazon.Co London </t>
    </r>
  </si>
  <si>
    <t>pint glasses</t>
  </si>
  <si>
    <t>prizes (bags)</t>
  </si>
  <si>
    <r>
      <rPr>
        <sz val="10"/>
        <rFont val="Calibri"/>
        <family val="2"/>
        <scheme val="minor"/>
      </rPr>
      <t xml:space="preserve">21 May </t>
    </r>
  </si>
  <si>
    <r>
      <rPr>
        <sz val="10"/>
        <rFont val="Calibri"/>
        <family val="2"/>
        <scheme val="minor"/>
      </rPr>
      <t xml:space="preserve">Www.Easiprint-Shop.Com +441954294894 </t>
    </r>
  </si>
  <si>
    <r>
      <rPr>
        <sz val="10"/>
        <rFont val="Calibri"/>
        <family val="2"/>
        <scheme val="minor"/>
      </rPr>
      <t xml:space="preserve">Rent Event +447446054706 </t>
    </r>
  </si>
  <si>
    <r>
      <rPr>
        <sz val="10"/>
        <rFont val="Calibri"/>
        <family val="2"/>
        <scheme val="minor"/>
      </rPr>
      <t xml:space="preserve">19 May </t>
    </r>
  </si>
  <si>
    <t>wisteria</t>
  </si>
  <si>
    <r>
      <rPr>
        <sz val="10"/>
        <rFont val="Calibri"/>
        <family val="2"/>
        <scheme val="minor"/>
      </rPr>
      <t xml:space="preserve">13 May </t>
    </r>
  </si>
  <si>
    <t>selfie frames</t>
  </si>
  <si>
    <t>dressing up</t>
  </si>
  <si>
    <r>
      <rPr>
        <sz val="10"/>
        <rFont val="Calibri"/>
        <family val="2"/>
        <scheme val="minor"/>
      </rPr>
      <t xml:space="preserve">Pockit Standard </t>
    </r>
  </si>
  <si>
    <r>
      <rPr>
        <sz val="10"/>
        <rFont val="Calibri"/>
        <family val="2"/>
        <scheme val="minor"/>
      </rPr>
      <t xml:space="preserve">Paypal *Wheninhomel 35314369001 </t>
    </r>
  </si>
  <si>
    <r>
      <rPr>
        <sz val="10"/>
        <rFont val="Calibri"/>
        <family val="2"/>
        <scheme val="minor"/>
      </rPr>
      <t xml:space="preserve">PREPAID ECASH </t>
    </r>
  </si>
  <si>
    <t xml:space="preserve">The Party Place Peterborough </t>
  </si>
  <si>
    <t xml:space="preserve">Paypal *R U Company 35314369001 </t>
  </si>
  <si>
    <t xml:space="preserve">Paypal *Etsy Inc 35314369001 </t>
  </si>
  <si>
    <t xml:space="preserve">Hm Land Registry - Onl London </t>
  </si>
  <si>
    <t xml:space="preserve">Rent Event +447446054706 </t>
  </si>
  <si>
    <t xml:space="preserve">Sp Sophie Allport +441778560256 </t>
  </si>
  <si>
    <t xml:space="preserve">Play Chest Thornton-Clev </t>
  </si>
  <si>
    <t xml:space="preserve">North Northants-Encint Trapston </t>
  </si>
  <si>
    <t xml:space="preserve">Www.Ico.Org.Uk Wilmslow </t>
  </si>
  <si>
    <t xml:space="preserve">Pp*Bigfootlies Bourne </t>
  </si>
  <si>
    <t xml:space="preserve">DATE </t>
  </si>
  <si>
    <t>Balanbce brought forward</t>
  </si>
  <si>
    <t>Out</t>
  </si>
  <si>
    <t>In</t>
  </si>
  <si>
    <t>licence</t>
  </si>
  <si>
    <t>Deposit for BourneFun</t>
  </si>
  <si>
    <t>✔</t>
  </si>
  <si>
    <t xml:space="preserve">Bigfootlies Bourne </t>
  </si>
  <si>
    <t>ICO Annual fee</t>
  </si>
  <si>
    <t>Pockit charge</t>
  </si>
  <si>
    <t>TENS licnce for jubilee party</t>
  </si>
  <si>
    <t xml:space="preserve">North Northamptonshire Council </t>
  </si>
  <si>
    <t>Lottery community grant</t>
  </si>
  <si>
    <t>DD</t>
  </si>
  <si>
    <t>Electricity</t>
  </si>
  <si>
    <t>SSE</t>
  </si>
  <si>
    <t>Dep</t>
  </si>
  <si>
    <t>NNC verges S136 grant</t>
  </si>
  <si>
    <t>Bk Payt</t>
  </si>
  <si>
    <t>Grant for mobile AED</t>
  </si>
  <si>
    <t>Heart Safe Communities</t>
  </si>
  <si>
    <t>Loan to cricket club</t>
  </si>
  <si>
    <t>Nassington Cricket Club</t>
  </si>
  <si>
    <t xml:space="preserve">Interest free loan </t>
  </si>
  <si>
    <t>Bank chg</t>
  </si>
  <si>
    <t>PAYE</t>
  </si>
  <si>
    <t>HMRC</t>
  </si>
  <si>
    <t>Printing of Jubilee invites</t>
  </si>
  <si>
    <t>Eastiprint</t>
  </si>
  <si>
    <t xml:space="preserve">Wildlife Trust </t>
  </si>
  <si>
    <t>Ecological data &amp; information</t>
  </si>
  <si>
    <t>Speed indicator device</t>
  </si>
  <si>
    <t>Elan City</t>
  </si>
  <si>
    <t>Arborio inspection &amp; report</t>
  </si>
  <si>
    <t>Rebecca Peace</t>
  </si>
  <si>
    <t>Yarwell&amp;Nassington Burial Board</t>
  </si>
  <si>
    <t>'Precept' grant to Burial Board</t>
  </si>
  <si>
    <t>Grant to preschool for outdoor area</t>
  </si>
  <si>
    <t>Nassington preschool</t>
  </si>
  <si>
    <t>Grant funding</t>
  </si>
  <si>
    <t>Display obelisk</t>
  </si>
  <si>
    <t>Amazon</t>
  </si>
  <si>
    <t>Bunting</t>
  </si>
  <si>
    <t>Floral display</t>
  </si>
  <si>
    <t>Welcome display</t>
  </si>
  <si>
    <t>Queen standing</t>
  </si>
  <si>
    <t>Prime</t>
  </si>
  <si>
    <t>Queen cutout</t>
  </si>
  <si>
    <t>Display arch</t>
  </si>
  <si>
    <t>Fairy lights and pegs</t>
  </si>
  <si>
    <t>Games for jubilee</t>
  </si>
  <si>
    <t>Play chest</t>
  </si>
  <si>
    <t>Prizes</t>
  </si>
  <si>
    <t>Sophie Allport</t>
  </si>
  <si>
    <t>current</t>
  </si>
  <si>
    <t>Rent event</t>
  </si>
  <si>
    <t>SO</t>
  </si>
  <si>
    <t>Salary</t>
  </si>
  <si>
    <t>Sarah Rodger</t>
  </si>
  <si>
    <t>Land registry enquiry</t>
  </si>
  <si>
    <t>HM Land registry</t>
  </si>
  <si>
    <t>Etsy</t>
  </si>
  <si>
    <t>Beanbag hire</t>
  </si>
  <si>
    <t>R U Comfy</t>
  </si>
  <si>
    <t>Decorations</t>
  </si>
  <si>
    <t>The Party Place, Peterborough</t>
  </si>
  <si>
    <t>Gazebo</t>
  </si>
  <si>
    <t>Bulhawk</t>
  </si>
  <si>
    <t>dd</t>
  </si>
  <si>
    <t>Pension deduction</t>
  </si>
  <si>
    <t xml:space="preserve"> Pension Provision</t>
  </si>
  <si>
    <t>Dressing up</t>
  </si>
  <si>
    <t>Selfie frames</t>
  </si>
  <si>
    <t>Floral decorations</t>
  </si>
  <si>
    <t>Maps</t>
  </si>
  <si>
    <t>Stationery</t>
  </si>
  <si>
    <t>Jubilee masks</t>
  </si>
  <si>
    <t>Footpath groundworks</t>
  </si>
  <si>
    <t>AMT</t>
  </si>
  <si>
    <t>Plough environmental</t>
  </si>
  <si>
    <t>Amenity grass cuts</t>
  </si>
  <si>
    <t>pockit</t>
  </si>
  <si>
    <t>Jubilee prizes - bags</t>
  </si>
  <si>
    <t>Plastic beer glasses</t>
  </si>
  <si>
    <t>Brushcutter</t>
  </si>
  <si>
    <t>MowerExpress</t>
  </si>
  <si>
    <t>Battery</t>
  </si>
  <si>
    <t>Glasses</t>
  </si>
  <si>
    <t>Bins</t>
  </si>
  <si>
    <t>Jubilee stage decoration</t>
  </si>
  <si>
    <t>Dukes valley</t>
  </si>
  <si>
    <t>N'wide</t>
  </si>
  <si>
    <t>Stibbington Diner</t>
  </si>
  <si>
    <t xml:space="preserve">Refreshments </t>
  </si>
  <si>
    <t>Hobbycraft</t>
  </si>
  <si>
    <t>Solar lights</t>
  </si>
  <si>
    <t>Asda</t>
  </si>
  <si>
    <t>Jubilee decorations</t>
  </si>
  <si>
    <t>Jubilee prizes - puzzle</t>
  </si>
  <si>
    <t>Balance fireworks display</t>
  </si>
  <si>
    <t>1605 Fireworks</t>
  </si>
  <si>
    <t>Selfies area decorations</t>
  </si>
  <si>
    <t>Thank you gifts</t>
  </si>
  <si>
    <t>Country florist</t>
  </si>
  <si>
    <t>Jubilee band payment</t>
  </si>
  <si>
    <t>Disarray via Max Gee</t>
  </si>
  <si>
    <t>Padlocks for jubilee</t>
  </si>
  <si>
    <t>marquee hire</t>
  </si>
  <si>
    <t>Wells Marquees</t>
  </si>
  <si>
    <t>Cable ties</t>
  </si>
  <si>
    <t>Security presence</t>
  </si>
  <si>
    <t>Business watch</t>
  </si>
  <si>
    <t>Games for jubilee cleaning/replace</t>
  </si>
  <si>
    <t>Party chest</t>
  </si>
  <si>
    <t>Verge &amp; amenity cuts</t>
  </si>
  <si>
    <t>Insurance premium</t>
  </si>
  <si>
    <t>BHIB</t>
  </si>
  <si>
    <t>Cable guard</t>
  </si>
  <si>
    <t>Disco at jubilee party</t>
  </si>
  <si>
    <t>Lisa Ward-Holmes</t>
  </si>
  <si>
    <t>Stage &amp; mirror ball</t>
  </si>
  <si>
    <t>PDS Sound &amp; light</t>
  </si>
  <si>
    <t>Festoon lighting</t>
  </si>
  <si>
    <t>Webhosting &amp; email</t>
  </si>
  <si>
    <t>Tsohost/paragon</t>
  </si>
  <si>
    <t>Inflatable tent &amp; games balances</t>
  </si>
  <si>
    <t>S Rodger/ Bourne Hire</t>
  </si>
  <si>
    <t>Tent pegs</t>
  </si>
  <si>
    <t>Crocodile straps for SID</t>
  </si>
  <si>
    <t>B&amp;Q</t>
  </si>
  <si>
    <t>Unity trust bank</t>
  </si>
  <si>
    <t>Bank charges</t>
  </si>
  <si>
    <t>Valuation for pavilion</t>
  </si>
  <si>
    <t>Cardinus</t>
  </si>
  <si>
    <t>Northants Calc</t>
  </si>
  <si>
    <t xml:space="preserve">Membership &amp; GDPR </t>
  </si>
  <si>
    <t>SLCC membership</t>
  </si>
  <si>
    <t>SLCC</t>
  </si>
  <si>
    <t>Band at jubilee</t>
  </si>
  <si>
    <t>YNBB</t>
  </si>
  <si>
    <t>Grasscutting</t>
  </si>
  <si>
    <t>Online mapping</t>
  </si>
  <si>
    <t>Parish online</t>
  </si>
  <si>
    <t xml:space="preserve">Donation </t>
  </si>
  <si>
    <t>Volunteer action</t>
  </si>
  <si>
    <t>VAT refund</t>
  </si>
  <si>
    <t>Digger hire</t>
  </si>
  <si>
    <t>DCE Group lrd</t>
  </si>
  <si>
    <t>Refund</t>
  </si>
  <si>
    <t>DEC group ltd</t>
  </si>
  <si>
    <t>PKF Littlejohn</t>
  </si>
  <si>
    <t>Play equipment inspection</t>
  </si>
  <si>
    <t>RoSPA</t>
  </si>
  <si>
    <t>Ride on mower</t>
  </si>
  <si>
    <t>Howard Marshall Engineering</t>
  </si>
  <si>
    <t>Spare battery for cutting machine</t>
  </si>
  <si>
    <t>Battery charger</t>
  </si>
  <si>
    <t>Neighbourhood plan grant</t>
  </si>
  <si>
    <t>Cricket club loan repayment 1 of 2</t>
  </si>
  <si>
    <t>Allotment rent</t>
  </si>
  <si>
    <t>e</t>
  </si>
  <si>
    <t>l</t>
  </si>
  <si>
    <t>bank charge</t>
  </si>
  <si>
    <t>Webhosting domain name</t>
  </si>
  <si>
    <t>Paypal to Paragon group</t>
  </si>
  <si>
    <t>royal mail</t>
  </si>
  <si>
    <t>special delivery</t>
  </si>
  <si>
    <t>website SSL</t>
  </si>
  <si>
    <t>Domain name</t>
  </si>
  <si>
    <t>Audit fee</t>
  </si>
  <si>
    <t>Special delivery postage</t>
  </si>
  <si>
    <t>Royal mail</t>
  </si>
  <si>
    <t>Digger hire deposit refund</t>
  </si>
  <si>
    <t>Poppy donation</t>
  </si>
  <si>
    <t>Donation for poppy wreath</t>
  </si>
  <si>
    <t>Royal British Legion</t>
  </si>
  <si>
    <t>Printing for garden show stand</t>
  </si>
  <si>
    <t>Easiprint</t>
  </si>
  <si>
    <t>Grant to village hall</t>
  </si>
  <si>
    <t>Nassington village hall</t>
  </si>
  <si>
    <t>Aug and Sept groundsworks</t>
  </si>
  <si>
    <t>Website SSL</t>
  </si>
  <si>
    <t>Paragon</t>
  </si>
  <si>
    <t>Dog bin emptying</t>
  </si>
  <si>
    <t>Printer</t>
  </si>
  <si>
    <t>Garden show sundries</t>
  </si>
  <si>
    <t>Condolence book</t>
  </si>
  <si>
    <t>pdf licence</t>
  </si>
  <si>
    <t>Thank you drink - cahirman's allowance</t>
  </si>
  <si>
    <t>Deposit</t>
  </si>
  <si>
    <t>Deposit refund from jubillee</t>
  </si>
  <si>
    <t>Stanley Street</t>
  </si>
  <si>
    <t>CHT</t>
  </si>
  <si>
    <t>Oct groundsworks</t>
  </si>
  <si>
    <t>NDP consultancy fees</t>
  </si>
  <si>
    <t>Your Locale</t>
  </si>
  <si>
    <t>refreshments for NP volunteers</t>
  </si>
  <si>
    <t>Nest (April)</t>
  </si>
  <si>
    <t>Nest (May)</t>
  </si>
  <si>
    <t>Nest (June)</t>
  </si>
  <si>
    <t>Nest (July)</t>
  </si>
  <si>
    <t>Nest (Aug)</t>
  </si>
  <si>
    <t>Nest (Sept)</t>
  </si>
  <si>
    <t>Nest (Oct)</t>
  </si>
  <si>
    <t>Nest (Nov &amp; backdate to 1/4/22)</t>
  </si>
  <si>
    <t>Transfer in</t>
  </si>
  <si>
    <t>Backdated VAT</t>
  </si>
  <si>
    <t>Biscuit tin' ctty group flyer printing</t>
  </si>
  <si>
    <t xml:space="preserve">Donation to FONS </t>
  </si>
  <si>
    <t>Friends of Nassington School</t>
  </si>
  <si>
    <t>Mole control at playing field</t>
  </si>
  <si>
    <t>Pestforce Peterborough</t>
  </si>
  <si>
    <t>Allotment pond works</t>
  </si>
  <si>
    <t>A Roberts</t>
  </si>
  <si>
    <t>Skip hire</t>
  </si>
  <si>
    <t>Bourne Skip Hire</t>
  </si>
  <si>
    <t>History group domain name</t>
  </si>
  <si>
    <t xml:space="preserve">History group domain </t>
  </si>
  <si>
    <t>123 reg</t>
  </si>
  <si>
    <t>History group domain names</t>
  </si>
  <si>
    <t>PDF software</t>
  </si>
  <si>
    <t>UPS distribution (PDF architect)</t>
  </si>
  <si>
    <t xml:space="preserve"> Arborioculture</t>
  </si>
  <si>
    <t xml:space="preserve">Nest </t>
  </si>
  <si>
    <t>PPE</t>
  </si>
  <si>
    <t>Donation and membership</t>
  </si>
  <si>
    <t>Good Neighbours RP</t>
  </si>
  <si>
    <t>SSE AED charges</t>
  </si>
  <si>
    <t>Wix.com - history website</t>
  </si>
  <si>
    <t>AED in phone box (24 months)</t>
  </si>
  <si>
    <t>nett</t>
  </si>
  <si>
    <t>vat</t>
  </si>
  <si>
    <t>INVOICES</t>
  </si>
  <si>
    <t xml:space="preserve">History group webhosting </t>
  </si>
  <si>
    <t xml:space="preserve">Wix </t>
  </si>
  <si>
    <t>Donation from carol singers</t>
  </si>
  <si>
    <t>w</t>
  </si>
  <si>
    <t>cc</t>
  </si>
  <si>
    <t>ee</t>
  </si>
  <si>
    <t>ff</t>
  </si>
  <si>
    <t>gg</t>
  </si>
  <si>
    <t>Farm forestry</t>
  </si>
  <si>
    <t>Office costs</t>
  </si>
  <si>
    <t>Backdated salary</t>
  </si>
  <si>
    <t>Pollarding trees at churchyard</t>
  </si>
  <si>
    <t>Nene Valley Tree Services</t>
  </si>
  <si>
    <t>AED pads</t>
  </si>
  <si>
    <t>Community Heartbeat Trust</t>
  </si>
  <si>
    <t>Water at allotments</t>
  </si>
  <si>
    <t>Anglian Water</t>
  </si>
  <si>
    <t>Hall hire</t>
  </si>
  <si>
    <t>Hedges direct</t>
  </si>
  <si>
    <t>Hedge plants</t>
  </si>
  <si>
    <t>Tree guard</t>
  </si>
  <si>
    <t>Community grants</t>
  </si>
  <si>
    <t>Safety reserve (speed indicator device grant exp)</t>
  </si>
  <si>
    <t>Churchyard</t>
  </si>
  <si>
    <t>Interest free loan to sports club</t>
  </si>
  <si>
    <t>Y/E 31/3/23</t>
  </si>
  <si>
    <t>Office expense claim in 2022 covered 1/1/20 to 31/3/22 , effectively covering 2 years</t>
  </si>
  <si>
    <t>Lottery grant expenditure (jubilee</t>
  </si>
  <si>
    <t>Cohesion reserve (jubilee fund)</t>
  </si>
  <si>
    <t>Arboriculture</t>
  </si>
  <si>
    <t>Prof fees included an indpendent property valuation in 22/23 and mapping software</t>
  </si>
  <si>
    <t>The independent internal audit fee from our CALC supplied service rose by £100</t>
  </si>
  <si>
    <t>Chair's allowance had not been claimed previously</t>
  </si>
  <si>
    <t>Tree works and a footpath groundworks in 21/22; balance of the footpath groundworks in 22/23</t>
  </si>
  <si>
    <t>There was more expenditure on our neighbourhood plan in 21/22 than in 22/23 - the final invoice for y/e 31/3/23 for NDP has not yet been paid</t>
  </si>
  <si>
    <t xml:space="preserve">The council lent the village cricket club some money for refurbisment works to the pavilion, which the parish council owns and leases to the cricket club.  The first traunch has been paid back </t>
  </si>
  <si>
    <t>This relates to expenditure of an incoming lottery grant for the Queen's jubilee community event</t>
  </si>
  <si>
    <t xml:space="preserve">Tree inspection and some remedial work </t>
  </si>
  <si>
    <t>Training costs diminished as no paid for conferences / training sessions were attended</t>
  </si>
  <si>
    <t>There was an extra SSL website cost</t>
  </si>
  <si>
    <t>Amenities includes a programme of bench procurement and installation in 21/22, to aid wellbeing and walking</t>
  </si>
  <si>
    <t>various</t>
  </si>
  <si>
    <t>31 March 2022    £</t>
  </si>
  <si>
    <t>31 March 2023 £</t>
  </si>
  <si>
    <t>31 March 2023     £</t>
  </si>
  <si>
    <t>There were fewer public meetings (in addition to PC meetings, eg Neighbourhood planning)</t>
  </si>
  <si>
    <t>The parish council granted some groundskeeping equipment to the sports association, as that organisation is responsible for the upkeep of the council's playing field</t>
  </si>
  <si>
    <t>A pond was dug at the allotments, involving digger hire and payment to operative, plus skip hire for allotment clearance</t>
  </si>
  <si>
    <t>The council financially supports a village history group.</t>
  </si>
  <si>
    <t>This relates to expenditure of an ear marked reserve designated for the Queen's jubilee community event</t>
  </si>
  <si>
    <t>The trees in the closed churchyard were pollarded in 22/23</t>
  </si>
  <si>
    <t>The council used grant funds brought forward from 21/22 (reserve as not spent in year grant was received) to procure a speed indicator device</t>
  </si>
  <si>
    <t>The council organised a fully inclusive free community event for the Queen's jubilee,  donated a community mobile AED to a heartsafe charity,  and supported a warm hub and joined a community wellbeing charity "Good Neighbours Rural Peterborough"</t>
  </si>
  <si>
    <t>The council granted funds to a number of community organisations - the community (CIO) preschool and the charity supporting the village school PFA extra curriculr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</si>
</sst>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Red]#,##0.00"/>
    <numFmt numFmtId="165" formatCode="#,##0.00_ ;[Red]\-#,##0.00\ "/>
    <numFmt numFmtId="166" formatCode="_-* #,##0_-;\-* #,##0_-;_-* &quot;-&quot;??_-;_-@_-"/>
    <numFmt numFmtId="167" formatCode="_-* #,##0.00000_-;\-* #,##0.00000_-;_-* &quot;-&quot;??_-;_-@_-"/>
    <numFmt numFmtId="168" formatCode="dd\ mmm\ yy\ "/>
    <numFmt numFmtId="169" formatCode="#,##0\ ;\(#,##0\);\-\ \ \ ;"/>
    <numFmt numFmtId="170" formatCode="#,##0.00\ ;\(#,##0.00\);\-\ \ \ ;"/>
    <numFmt numFmtId="171" formatCode="_-* #,##0.000_-;\-* #,##0.000_-;_-* &quot;-&quot;??_-;_-@_-"/>
    <numFmt numFmtId="172" formatCode="dd\ mmm\ yy"/>
    <numFmt numFmtId="173" formatCode="[$-809]dd\ mmmm\ yyyy;@"/>
    <numFmt numFmtId="174" formatCode="&quot;£&quot;#,##0.00"/>
    <numFmt numFmtId="175" formatCode="dd/mmm/yyyy"/>
    <numFmt numFmtId="176" formatCode="#,##0_ ;[Red]\-#,##0\ "/>
    <numFmt numFmtId="177" formatCode="0.00_ ;[Red]\-0.00\ "/>
    <numFmt numFmtId="178" formatCode="dd\ mmm\ yyyy"/>
    <numFmt numFmtId="179" formatCode="0.0%"/>
    <numFmt numFmtId="180" formatCode="mmm\ yyyy"/>
    <numFmt numFmtId="181" formatCode="\ mmm\ yy"/>
    <numFmt numFmtId="182" formatCode="[$-809]d\ mmm\ yy;@"/>
    <numFmt numFmtId="183" formatCode="#,##0_ ;\-#,##0\ "/>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sz val="11"/>
      <color indexed="8"/>
      <name val="Calibri"/>
      <family val="2"/>
    </font>
    <font>
      <sz val="10"/>
      <name val="Arial"/>
      <family val="2"/>
    </font>
    <font>
      <b/>
      <sz val="12"/>
      <name val="Arial"/>
      <family val="2"/>
    </font>
    <font>
      <b/>
      <sz val="11"/>
      <name val="Arial"/>
      <family val="2"/>
    </font>
    <font>
      <sz val="9"/>
      <name val="Arial"/>
      <family val="2"/>
    </font>
    <font>
      <sz val="10"/>
      <name val="Arial Unicode MS"/>
      <family val="2"/>
    </font>
    <font>
      <sz val="8"/>
      <name val="Arial"/>
      <family val="2"/>
    </font>
    <font>
      <sz val="11"/>
      <name val="Calibri"/>
      <family val="2"/>
    </font>
    <font>
      <b/>
      <sz val="11"/>
      <name val="Calibri"/>
      <family val="2"/>
    </font>
    <font>
      <sz val="10"/>
      <name val="Calibri"/>
      <family val="2"/>
    </font>
    <font>
      <sz val="10.5"/>
      <name val="Calibri"/>
      <family val="2"/>
    </font>
    <font>
      <b/>
      <sz val="12"/>
      <name val="Calibri"/>
      <family val="2"/>
    </font>
    <font>
      <sz val="12"/>
      <name val="Calibri"/>
      <family val="2"/>
    </font>
    <font>
      <sz val="10"/>
      <name val="Arial"/>
      <family val="2"/>
    </font>
    <font>
      <sz val="11"/>
      <name val="Arial"/>
      <family val="2"/>
    </font>
    <font>
      <sz val="9.5"/>
      <name val="Arial"/>
      <family val="2"/>
    </font>
    <font>
      <sz val="12"/>
      <name val="Arial"/>
      <family val="2"/>
    </font>
    <font>
      <sz val="11"/>
      <name val="Calibri"/>
      <family val="2"/>
      <scheme val="minor"/>
    </font>
    <font>
      <i/>
      <sz val="11"/>
      <name val="Calibri"/>
      <family val="2"/>
      <scheme val="minor"/>
    </font>
    <font>
      <i/>
      <sz val="11"/>
      <color theme="4" tint="-0.24994659260841701"/>
      <name val="Calibri"/>
      <family val="2"/>
      <scheme val="minor"/>
    </font>
    <font>
      <sz val="11"/>
      <color rgb="FF0070C0"/>
      <name val="Calibri"/>
      <family val="2"/>
    </font>
    <font>
      <sz val="10"/>
      <name val="Arial"/>
      <family val="2"/>
    </font>
    <font>
      <sz val="10"/>
      <name val="Arial"/>
      <family val="2"/>
    </font>
    <font>
      <sz val="12"/>
      <name val="Calibri"/>
      <family val="2"/>
      <scheme val="minor"/>
    </font>
    <font>
      <b/>
      <sz val="12"/>
      <color indexed="54"/>
      <name val="Calibri"/>
      <family val="2"/>
      <scheme val="minor"/>
    </font>
    <font>
      <sz val="12"/>
      <color theme="0"/>
      <name val="Calibri"/>
      <family val="2"/>
      <scheme val="minor"/>
    </font>
    <font>
      <b/>
      <sz val="12"/>
      <name val="Calibri"/>
      <family val="2"/>
      <scheme val="minor"/>
    </font>
    <font>
      <sz val="12"/>
      <color indexed="56"/>
      <name val="Calibri"/>
      <family val="2"/>
      <scheme val="minor"/>
    </font>
    <font>
      <sz val="12"/>
      <color indexed="9"/>
      <name val="Calibri"/>
      <family val="2"/>
      <scheme val="minor"/>
    </font>
    <font>
      <u/>
      <sz val="12"/>
      <color indexed="12"/>
      <name val="Calibri"/>
      <family val="2"/>
      <scheme val="minor"/>
    </font>
    <font>
      <u/>
      <sz val="12"/>
      <color indexed="9"/>
      <name val="Calibri"/>
      <family val="2"/>
      <scheme val="minor"/>
    </font>
    <font>
      <sz val="11"/>
      <name val="Sylfaen"/>
      <family val="1"/>
    </font>
    <font>
      <sz val="11"/>
      <color theme="1"/>
      <name val="Calibri"/>
      <family val="2"/>
      <charset val="204"/>
      <scheme val="minor"/>
    </font>
    <font>
      <sz val="10"/>
      <name val="Verdana"/>
      <family val="2"/>
    </font>
    <font>
      <b/>
      <sz val="11"/>
      <name val="Calibri"/>
      <family val="2"/>
      <scheme val="minor"/>
    </font>
    <font>
      <sz val="11"/>
      <color indexed="10"/>
      <name val="Calibri"/>
      <family val="2"/>
      <scheme val="minor"/>
    </font>
    <font>
      <sz val="11"/>
      <color theme="0" tint="-0.34998626667073579"/>
      <name val="Calibri"/>
      <family val="2"/>
    </font>
    <font>
      <sz val="10"/>
      <color theme="0"/>
      <name val="Arial"/>
      <family val="2"/>
    </font>
    <font>
      <strike/>
      <sz val="11"/>
      <name val="Calibri"/>
      <family val="2"/>
      <scheme val="minor"/>
    </font>
    <font>
      <sz val="10.5"/>
      <name val="Calibri"/>
      <family val="2"/>
      <scheme val="minor"/>
    </font>
    <font>
      <sz val="12"/>
      <color rgb="FFFF0000"/>
      <name val="Calibri"/>
      <family val="2"/>
      <scheme val="minor"/>
    </font>
    <font>
      <b/>
      <sz val="12"/>
      <color theme="4" tint="-0.499984740745262"/>
      <name val="Calibri"/>
      <family val="2"/>
    </font>
    <font>
      <sz val="10"/>
      <color theme="1"/>
      <name val="Calibri"/>
      <family val="2"/>
      <scheme val="minor"/>
    </font>
    <font>
      <sz val="10"/>
      <name val="Calibri"/>
      <family val="2"/>
      <scheme val="minor"/>
    </font>
    <font>
      <sz val="10"/>
      <color theme="0" tint="-0.34998626667073579"/>
      <name val="Calibri"/>
      <family val="2"/>
      <scheme val="minor"/>
    </font>
    <font>
      <sz val="10"/>
      <color theme="3" tint="0.39997558519241921"/>
      <name val="Calibri"/>
      <family val="2"/>
      <scheme val="minor"/>
    </font>
    <font>
      <sz val="11"/>
      <color theme="3" tint="0.39997558519241921"/>
      <name val="Calibri"/>
      <family val="2"/>
      <scheme val="minor"/>
    </font>
    <font>
      <sz val="11"/>
      <color theme="3" tint="0.39997558519241921"/>
      <name val="Calibri"/>
      <family val="2"/>
    </font>
  </fonts>
  <fills count="30">
    <fill>
      <patternFill patternType="none"/>
    </fill>
    <fill>
      <patternFill patternType="gray125"/>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5"/>
      </patternFill>
    </fill>
    <fill>
      <patternFill patternType="solid">
        <fgColor theme="7" tint="0.59999389629810485"/>
        <bgColor indexed="64"/>
      </patternFill>
    </fill>
    <fill>
      <patternFill patternType="solid">
        <fgColor theme="7" tint="0.79998168889431442"/>
        <bgColor indexed="64"/>
      </patternFill>
    </fill>
  </fills>
  <borders count="1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right style="thin">
        <color indexed="64"/>
      </right>
      <top style="thin">
        <color indexed="64"/>
      </top>
      <bottom style="double">
        <color indexed="64"/>
      </bottom>
      <diagonal/>
    </border>
    <border>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style="hair">
        <color theme="0" tint="-0.249977111117893"/>
      </right>
      <top style="thin">
        <color indexed="64"/>
      </top>
      <bottom style="thin">
        <color indexed="64"/>
      </bottom>
      <diagonal/>
    </border>
    <border>
      <left style="hair">
        <color theme="0" tint="-0.249977111117893"/>
      </left>
      <right style="hair">
        <color theme="0" tint="-0.249977111117893"/>
      </right>
      <top style="thin">
        <color indexed="64"/>
      </top>
      <bottom style="thin">
        <color indexed="64"/>
      </bottom>
      <diagonal/>
    </border>
    <border>
      <left style="thin">
        <color indexed="64"/>
      </left>
      <right style="hair">
        <color theme="0" tint="-0.249977111117893"/>
      </right>
      <top style="thin">
        <color indexed="64"/>
      </top>
      <bottom/>
      <diagonal/>
    </border>
    <border>
      <left style="hair">
        <color theme="0" tint="-0.249977111117893"/>
      </left>
      <right style="hair">
        <color theme="0" tint="-0.249977111117893"/>
      </right>
      <top style="thin">
        <color indexed="64"/>
      </top>
      <bottom/>
      <diagonal/>
    </border>
    <border>
      <left style="thin">
        <color indexed="64"/>
      </left>
      <right style="hair">
        <color theme="0" tint="-0.249977111117893"/>
      </right>
      <top/>
      <bottom/>
      <diagonal/>
    </border>
    <border>
      <left style="thin">
        <color indexed="64"/>
      </left>
      <right style="hair">
        <color theme="0" tint="-0.249977111117893"/>
      </right>
      <top/>
      <bottom style="hair">
        <color theme="0" tint="-0.249977111117893"/>
      </bottom>
      <diagonal/>
    </border>
    <border>
      <left style="hair">
        <color theme="0" tint="-0.249977111117893"/>
      </left>
      <right style="hair">
        <color theme="0" tint="-0.249977111117893"/>
      </right>
      <top/>
      <bottom/>
      <diagonal/>
    </border>
    <border>
      <left style="hair">
        <color theme="0" tint="-0.249977111117893"/>
      </left>
      <right style="hair">
        <color theme="0" tint="-0.249977111117893"/>
      </right>
      <top/>
      <bottom style="hair">
        <color theme="0" tint="-0.249977111117893"/>
      </bottom>
      <diagonal/>
    </border>
    <border>
      <left style="thin">
        <color indexed="64"/>
      </left>
      <right style="thin">
        <color indexed="64"/>
      </right>
      <top style="thin">
        <color indexed="64"/>
      </top>
      <bottom style="hair">
        <color theme="0" tint="-0.249977111117893"/>
      </bottom>
      <diagonal/>
    </border>
    <border>
      <left/>
      <right/>
      <top style="hair">
        <color theme="0" tint="-0.249977111117893"/>
      </top>
      <bottom style="hair">
        <color theme="0" tint="-0.249977111117893"/>
      </bottom>
      <diagonal/>
    </border>
    <border>
      <left style="thin">
        <color indexed="64"/>
      </left>
      <right style="thin">
        <color indexed="64"/>
      </right>
      <top style="hair">
        <color theme="0" tint="-0.249977111117893"/>
      </top>
      <bottom style="hair">
        <color theme="0" tint="-0.249977111117893"/>
      </bottom>
      <diagonal/>
    </border>
    <border>
      <left style="hair">
        <color theme="0" tint="-0.249977111117893"/>
      </left>
      <right style="thin">
        <color indexed="64"/>
      </right>
      <top style="thin">
        <color indexed="64"/>
      </top>
      <bottom/>
      <diagonal/>
    </border>
    <border>
      <left style="hair">
        <color theme="0" tint="-0.249977111117893"/>
      </left>
      <right style="thin">
        <color indexed="64"/>
      </right>
      <top/>
      <bottom/>
      <diagonal/>
    </border>
    <border>
      <left style="hair">
        <color theme="0" tint="-0.249977111117893"/>
      </left>
      <right style="thin">
        <color indexed="64"/>
      </right>
      <top style="hair">
        <color theme="0" tint="-0.249977111117893"/>
      </top>
      <bottom style="hair">
        <color theme="0" tint="-0.249977111117893"/>
      </bottom>
      <diagonal/>
    </border>
    <border>
      <left style="hair">
        <color theme="0" tint="-0.249977111117893"/>
      </left>
      <right style="thin">
        <color indexed="64"/>
      </right>
      <top style="thin">
        <color indexed="64"/>
      </top>
      <bottom style="hair">
        <color theme="0" tint="-0.249977111117893"/>
      </bottom>
      <diagonal/>
    </border>
    <border>
      <left/>
      <right style="hair">
        <color theme="0" tint="-0.249977111117893"/>
      </right>
      <top style="thin">
        <color indexed="64"/>
      </top>
      <bottom/>
      <diagonal/>
    </border>
    <border>
      <left/>
      <right style="hair">
        <color theme="0" tint="-0.249977111117893"/>
      </right>
      <top/>
      <bottom/>
      <diagonal/>
    </border>
    <border>
      <left/>
      <right style="hair">
        <color theme="0" tint="-0.249977111117893"/>
      </right>
      <top/>
      <bottom style="thin">
        <color indexed="64"/>
      </bottom>
      <diagonal/>
    </border>
    <border>
      <left style="hair">
        <color theme="3" tint="0.79998168889431442"/>
      </left>
      <right style="hair">
        <color theme="3" tint="0.79998168889431442"/>
      </right>
      <top style="hair">
        <color theme="3" tint="0.79998168889431442"/>
      </top>
      <bottom style="hair">
        <color theme="3" tint="0.79998168889431442"/>
      </bottom>
      <diagonal/>
    </border>
    <border>
      <left style="hair">
        <color theme="3" tint="0.79998168889431442"/>
      </left>
      <right style="hair">
        <color theme="3" tint="0.79998168889431442"/>
      </right>
      <top/>
      <bottom style="hair">
        <color theme="3" tint="0.79998168889431442"/>
      </bottom>
      <diagonal/>
    </border>
    <border>
      <left style="hair">
        <color theme="3" tint="0.79998168889431442"/>
      </left>
      <right style="thin">
        <color indexed="64"/>
      </right>
      <top/>
      <bottom style="hair">
        <color theme="3" tint="0.79998168889431442"/>
      </bottom>
      <diagonal/>
    </border>
    <border>
      <left/>
      <right style="hair">
        <color theme="3" tint="0.79998168889431442"/>
      </right>
      <top/>
      <bottom style="hair">
        <color theme="3" tint="0.79998168889431442"/>
      </bottom>
      <diagonal/>
    </border>
    <border>
      <left style="medium">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theme="0" tint="-0.249977111117893"/>
      </left>
      <right style="thin">
        <color indexed="64"/>
      </right>
      <top style="hair">
        <color theme="0" tint="-0.249977111117893"/>
      </top>
      <bottom style="thin">
        <color indexed="64"/>
      </bottom>
      <diagonal/>
    </border>
    <border>
      <left style="thin">
        <color indexed="64"/>
      </left>
      <right style="thin">
        <color indexed="64"/>
      </right>
      <top style="hair">
        <color theme="0" tint="-0.249977111117893"/>
      </top>
      <bottom style="thin">
        <color indexed="64"/>
      </bottom>
      <diagonal/>
    </border>
    <border>
      <left style="thin">
        <color indexed="64"/>
      </left>
      <right style="hair">
        <color theme="0" tint="-0.249977111117893"/>
      </right>
      <top/>
      <bottom style="thin">
        <color indexed="64"/>
      </bottom>
      <diagonal/>
    </border>
    <border>
      <left style="hair">
        <color theme="0" tint="-0.249977111117893"/>
      </left>
      <right style="hair">
        <color theme="0" tint="-0.249977111117893"/>
      </right>
      <top/>
      <bottom style="thin">
        <color indexed="64"/>
      </bottom>
      <diagonal/>
    </border>
    <border>
      <left style="hair">
        <color theme="0" tint="-0.249977111117893"/>
      </left>
      <right style="thin">
        <color indexed="64"/>
      </right>
      <top/>
      <bottom style="thin">
        <color indexed="64"/>
      </bottom>
      <diagonal/>
    </border>
    <border>
      <left style="medium">
        <color indexed="64"/>
      </left>
      <right/>
      <top/>
      <bottom style="thin">
        <color indexed="64"/>
      </bottom>
      <diagonal/>
    </border>
    <border>
      <left/>
      <right style="hair">
        <color indexed="64"/>
      </right>
      <top style="hair">
        <color indexed="64"/>
      </top>
      <bottom/>
      <diagonal/>
    </border>
    <border>
      <left style="medium">
        <color indexed="64"/>
      </left>
      <right style="hair">
        <color indexed="64"/>
      </right>
      <top style="hair">
        <color indexed="64"/>
      </top>
      <bottom style="hair">
        <color theme="7" tint="-0.499984740745262"/>
      </bottom>
      <diagonal/>
    </border>
    <border>
      <left style="hair">
        <color indexed="64"/>
      </left>
      <right style="hair">
        <color indexed="64"/>
      </right>
      <top style="hair">
        <color indexed="64"/>
      </top>
      <bottom style="hair">
        <color theme="7" tint="-0.499984740745262"/>
      </bottom>
      <diagonal/>
    </border>
    <border>
      <left style="hair">
        <color theme="7" tint="-0.499984740745262"/>
      </left>
      <right/>
      <top/>
      <bottom style="thin">
        <color indexed="64"/>
      </bottom>
      <diagonal/>
    </border>
    <border>
      <left style="hair">
        <color theme="7" tint="-0.499984740745262"/>
      </left>
      <right/>
      <top/>
      <bottom/>
      <diagonal/>
    </border>
    <border>
      <left style="hair">
        <color theme="7" tint="-0.499984740745262"/>
      </left>
      <right style="hair">
        <color indexed="64"/>
      </right>
      <top/>
      <bottom style="thin">
        <color indexed="64"/>
      </bottom>
      <diagonal/>
    </border>
    <border>
      <left style="hair">
        <color theme="7" tint="-0.499984740745262"/>
      </left>
      <right style="hair">
        <color indexed="64"/>
      </right>
      <top/>
      <bottom/>
      <diagonal/>
    </border>
    <border>
      <left style="hair">
        <color theme="3" tint="0.79998168889431442"/>
      </left>
      <right style="hair">
        <color theme="3" tint="0.79998168889431442"/>
      </right>
      <top style="hair">
        <color theme="3" tint="0.79998168889431442"/>
      </top>
      <bottom/>
      <diagonal/>
    </border>
    <border>
      <left style="hair">
        <color theme="0" tint="-0.249977111117893"/>
      </left>
      <right style="thin">
        <color indexed="64"/>
      </right>
      <top style="hair">
        <color theme="0" tint="-0.249977111117893"/>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s>
  <cellStyleXfs count="63">
    <xf numFmtId="0" fontId="0" fillId="0" borderId="0"/>
    <xf numFmtId="0" fontId="23"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3" fillId="7" borderId="0" applyNumberFormat="0" applyBorder="0" applyAlignment="0" applyProtection="0"/>
    <xf numFmtId="0" fontId="23" fillId="2"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4" fillId="11" borderId="0" applyNumberFormat="0" applyBorder="0" applyAlignment="0" applyProtection="0"/>
    <xf numFmtId="0" fontId="24" fillId="3" borderId="0" applyNumberFormat="0" applyBorder="0" applyAlignment="0" applyProtection="0"/>
    <xf numFmtId="0" fontId="23" fillId="4" borderId="0" applyNumberFormat="0" applyBorder="0" applyAlignment="0" applyProtection="0"/>
    <xf numFmtId="0" fontId="23" fillId="12" borderId="0" applyNumberFormat="0" applyBorder="0" applyAlignment="0" applyProtection="0"/>
    <xf numFmtId="0" fontId="24" fillId="6" borderId="0" applyNumberFormat="0" applyBorder="0" applyAlignment="0" applyProtection="0"/>
    <xf numFmtId="0" fontId="24" fillId="13" borderId="0" applyNumberFormat="0" applyBorder="0" applyAlignment="0" applyProtection="0"/>
    <xf numFmtId="0" fontId="23" fillId="13" borderId="0" applyNumberFormat="0" applyBorder="0" applyAlignment="0" applyProtection="0"/>
    <xf numFmtId="0" fontId="14" fillId="14" borderId="0" applyNumberFormat="0" applyBorder="0" applyAlignment="0" applyProtection="0"/>
    <xf numFmtId="0" fontId="19" fillId="15" borderId="1" applyNumberFormat="0" applyAlignment="0" applyProtection="0"/>
    <xf numFmtId="0" fontId="21" fillId="8" borderId="2" applyNumberFormat="0" applyAlignment="0" applyProtection="0"/>
    <xf numFmtId="43" fontId="6" fillId="0" borderId="0" applyFont="0" applyFill="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3" fillId="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3" fillId="0" borderId="0" applyNumberFormat="0" applyFill="0" applyBorder="0" applyAlignment="0" applyProtection="0">
      <alignment vertical="top"/>
      <protection locked="0"/>
    </xf>
    <xf numFmtId="0" fontId="17" fillId="13" borderId="1" applyNumberFormat="0" applyAlignment="0" applyProtection="0"/>
    <xf numFmtId="0" fontId="20" fillId="0" borderId="6" applyNumberFormat="0" applyFill="0" applyAlignment="0" applyProtection="0"/>
    <xf numFmtId="0" fontId="15" fillId="19" borderId="0" applyNumberFormat="0" applyBorder="0" applyAlignment="0" applyProtection="0"/>
    <xf numFmtId="0" fontId="8" fillId="6" borderId="7" applyNumberFormat="0" applyFont="0" applyAlignment="0" applyProtection="0"/>
    <xf numFmtId="0" fontId="18" fillId="15" borderId="8" applyNumberFormat="0" applyAlignment="0" applyProtection="0"/>
    <xf numFmtId="0" fontId="9" fillId="0" borderId="0" applyNumberFormat="0" applyFill="0" applyBorder="0" applyAlignment="0" applyProtection="0"/>
    <xf numFmtId="0" fontId="16" fillId="0" borderId="9" applyNumberFormat="0" applyFill="0" applyAlignment="0" applyProtection="0"/>
    <xf numFmtId="0" fontId="22" fillId="0" borderId="0" applyNumberFormat="0" applyFill="0" applyBorder="0" applyAlignment="0" applyProtection="0"/>
    <xf numFmtId="0" fontId="6" fillId="0" borderId="0"/>
    <xf numFmtId="43" fontId="37" fillId="0" borderId="0" applyFont="0" applyFill="0" applyBorder="0" applyAlignment="0" applyProtection="0"/>
    <xf numFmtId="0" fontId="5" fillId="0" borderId="0"/>
    <xf numFmtId="0" fontId="43"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6" fillId="0" borderId="0"/>
    <xf numFmtId="0" fontId="56" fillId="0" borderId="0"/>
    <xf numFmtId="43" fontId="6" fillId="0" borderId="0" applyFont="0" applyFill="0" applyBorder="0" applyAlignment="0" applyProtection="0"/>
    <xf numFmtId="0" fontId="3" fillId="0" borderId="0"/>
    <xf numFmtId="43" fontId="6" fillId="0" borderId="0" applyFont="0" applyFill="0" applyBorder="0" applyAlignment="0" applyProtection="0"/>
    <xf numFmtId="43" fontId="2" fillId="0" borderId="0" applyFont="0" applyFill="0" applyBorder="0" applyAlignment="0" applyProtection="0"/>
    <xf numFmtId="43" fontId="56" fillId="0" borderId="0" applyFont="0" applyFill="0" applyBorder="0" applyAlignment="0" applyProtection="0"/>
    <xf numFmtId="0" fontId="1" fillId="27" borderId="0" applyNumberFormat="0" applyBorder="0" applyAlignment="0" applyProtection="0"/>
    <xf numFmtId="43" fontId="1" fillId="0" borderId="0" applyFont="0" applyFill="0" applyBorder="0" applyAlignment="0" applyProtection="0"/>
    <xf numFmtId="9" fontId="6" fillId="0" borderId="0" applyFont="0" applyFill="0" applyBorder="0" applyAlignment="0" applyProtection="0"/>
  </cellStyleXfs>
  <cellXfs count="822">
    <xf numFmtId="0" fontId="0" fillId="0" borderId="0" xfId="0"/>
    <xf numFmtId="43" fontId="6" fillId="0" borderId="0" xfId="28" applyFont="1"/>
    <xf numFmtId="0" fontId="6" fillId="0" borderId="0" xfId="0" applyFont="1"/>
    <xf numFmtId="15" fontId="6" fillId="0" borderId="0" xfId="0" applyNumberFormat="1" applyFont="1"/>
    <xf numFmtId="0" fontId="25" fillId="0" borderId="0" xfId="0" applyFont="1"/>
    <xf numFmtId="43" fontId="25" fillId="0" borderId="0" xfId="28" applyFont="1"/>
    <xf numFmtId="165" fontId="25" fillId="0" borderId="0" xfId="0" applyNumberFormat="1" applyFont="1"/>
    <xf numFmtId="15" fontId="26" fillId="0" borderId="0" xfId="0" applyNumberFormat="1" applyFont="1"/>
    <xf numFmtId="43" fontId="6" fillId="0" borderId="0" xfId="28" applyFont="1" applyBorder="1"/>
    <xf numFmtId="0" fontId="25" fillId="0" borderId="0" xfId="0" applyFont="1" applyAlignment="1">
      <alignment horizontal="left" vertical="center"/>
    </xf>
    <xf numFmtId="0" fontId="25" fillId="20" borderId="0" xfId="0" applyFont="1" applyFill="1" applyAlignment="1">
      <alignment horizontal="left" vertical="center"/>
    </xf>
    <xf numFmtId="43" fontId="25" fillId="0" borderId="0" xfId="28" applyFont="1" applyFill="1" applyAlignment="1">
      <alignment horizontal="left" vertical="center"/>
    </xf>
    <xf numFmtId="43" fontId="25" fillId="0" borderId="0" xfId="28" applyFont="1" applyAlignment="1">
      <alignment horizontal="left" vertical="center"/>
    </xf>
    <xf numFmtId="15" fontId="25" fillId="0" borderId="10" xfId="0" applyNumberFormat="1" applyFont="1" applyBorder="1" applyAlignment="1">
      <alignment horizontal="left" vertical="center"/>
    </xf>
    <xf numFmtId="43" fontId="25" fillId="0" borderId="11" xfId="28" applyFont="1" applyBorder="1" applyAlignment="1">
      <alignment horizontal="left" vertical="center"/>
    </xf>
    <xf numFmtId="43" fontId="29" fillId="0" borderId="0" xfId="28" applyFont="1" applyBorder="1" applyAlignment="1">
      <alignment horizontal="left" vertical="center"/>
    </xf>
    <xf numFmtId="15" fontId="8" fillId="0" borderId="13" xfId="0" applyNumberFormat="1" applyFont="1" applyBorder="1" applyAlignment="1">
      <alignment horizontal="left" vertical="center"/>
    </xf>
    <xf numFmtId="43" fontId="25" fillId="0" borderId="11" xfId="28" applyFont="1" applyBorder="1"/>
    <xf numFmtId="0" fontId="29" fillId="0" borderId="0" xfId="28" applyNumberFormat="1" applyFont="1" applyBorder="1" applyAlignment="1">
      <alignment horizontal="left" vertical="center"/>
    </xf>
    <xf numFmtId="15" fontId="29" fillId="0" borderId="0" xfId="0" applyNumberFormat="1" applyFont="1" applyAlignment="1">
      <alignment horizontal="left" vertical="center"/>
    </xf>
    <xf numFmtId="4" fontId="29" fillId="0" borderId="0" xfId="0" applyNumberFormat="1" applyFont="1" applyAlignment="1">
      <alignment horizontal="left" vertical="center"/>
    </xf>
    <xf numFmtId="0" fontId="6" fillId="0" borderId="0" xfId="0" applyFont="1" applyAlignment="1">
      <alignment horizontal="left" vertical="center"/>
    </xf>
    <xf numFmtId="43" fontId="31" fillId="0" borderId="0" xfId="28" applyFont="1" applyAlignment="1">
      <alignment vertical="center"/>
    </xf>
    <xf numFmtId="43" fontId="31" fillId="0" borderId="15" xfId="28" applyFont="1" applyBorder="1" applyAlignment="1" applyProtection="1">
      <alignment horizontal="left" vertical="center"/>
      <protection locked="0"/>
    </xf>
    <xf numFmtId="43" fontId="31" fillId="0" borderId="15" xfId="28" applyFont="1" applyFill="1" applyBorder="1" applyAlignment="1" applyProtection="1">
      <alignment horizontal="left" vertical="center"/>
      <protection locked="0"/>
    </xf>
    <xf numFmtId="0" fontId="31" fillId="0" borderId="0" xfId="0" applyFont="1"/>
    <xf numFmtId="15" fontId="31" fillId="0" borderId="13" xfId="0" applyNumberFormat="1" applyFont="1" applyBorder="1" applyAlignment="1" applyProtection="1">
      <alignment horizontal="left" vertical="center"/>
      <protection locked="0"/>
    </xf>
    <xf numFmtId="49" fontId="31" fillId="0" borderId="15" xfId="28" applyNumberFormat="1" applyFont="1" applyBorder="1" applyAlignment="1" applyProtection="1">
      <alignment horizontal="left" vertical="center"/>
      <protection locked="0"/>
    </xf>
    <xf numFmtId="166" fontId="31" fillId="0" borderId="15" xfId="28" applyNumberFormat="1" applyFont="1" applyBorder="1" applyAlignment="1" applyProtection="1">
      <alignment horizontal="left" vertical="center"/>
      <protection locked="0"/>
    </xf>
    <xf numFmtId="43" fontId="31" fillId="0" borderId="22" xfId="28" applyFont="1" applyBorder="1" applyAlignment="1" applyProtection="1">
      <alignment horizontal="left" vertical="center"/>
      <protection hidden="1"/>
    </xf>
    <xf numFmtId="0" fontId="31" fillId="0" borderId="0" xfId="0" applyFont="1" applyAlignment="1">
      <alignment horizontal="left" vertical="center"/>
    </xf>
    <xf numFmtId="49" fontId="31" fillId="0" borderId="15" xfId="0" applyNumberFormat="1" applyFont="1" applyBorder="1" applyAlignment="1" applyProtection="1">
      <alignment horizontal="left" vertical="center"/>
      <protection locked="0"/>
    </xf>
    <xf numFmtId="166" fontId="31" fillId="0" borderId="15" xfId="28" applyNumberFormat="1" applyFont="1" applyFill="1" applyBorder="1" applyAlignment="1" applyProtection="1">
      <alignment horizontal="left" vertical="center"/>
      <protection locked="0"/>
    </xf>
    <xf numFmtId="43" fontId="31" fillId="0" borderId="21" xfId="28" applyFont="1" applyFill="1" applyBorder="1" applyAlignment="1" applyProtection="1">
      <alignment horizontal="left" vertical="center"/>
      <protection locked="0"/>
    </xf>
    <xf numFmtId="15" fontId="31" fillId="0" borderId="13" xfId="0" applyNumberFormat="1" applyFont="1" applyBorder="1" applyAlignment="1">
      <alignment horizontal="left" vertical="center"/>
    </xf>
    <xf numFmtId="43" fontId="32" fillId="20" borderId="23" xfId="28" applyFont="1" applyFill="1" applyBorder="1" applyAlignment="1">
      <alignment horizontal="right" vertical="center"/>
    </xf>
    <xf numFmtId="43" fontId="31" fillId="20" borderId="23" xfId="28" applyFont="1" applyFill="1" applyBorder="1" applyAlignment="1">
      <alignment horizontal="left" vertical="center"/>
    </xf>
    <xf numFmtId="43" fontId="31" fillId="20" borderId="18" xfId="28" applyFont="1" applyFill="1" applyBorder="1" applyAlignment="1">
      <alignment horizontal="left" vertical="center"/>
    </xf>
    <xf numFmtId="43" fontId="31" fillId="0" borderId="0" xfId="28" applyFont="1" applyFill="1" applyBorder="1" applyAlignment="1" applyProtection="1">
      <alignment vertical="center"/>
      <protection hidden="1"/>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pplyProtection="1">
      <alignment horizontal="center" vertical="center" wrapText="1"/>
      <protection hidden="1"/>
    </xf>
    <xf numFmtId="4" fontId="33" fillId="0" borderId="28" xfId="0" applyNumberFormat="1" applyFont="1" applyBorder="1" applyAlignment="1">
      <alignment horizontal="center" vertical="center" wrapText="1"/>
    </xf>
    <xf numFmtId="0" fontId="31" fillId="0" borderId="0" xfId="0" applyFont="1" applyAlignment="1">
      <alignment wrapText="1"/>
    </xf>
    <xf numFmtId="0" fontId="31" fillId="0" borderId="0" xfId="0" applyFont="1" applyAlignment="1" applyProtection="1">
      <alignment horizontal="right" vertical="center"/>
      <protection hidden="1"/>
    </xf>
    <xf numFmtId="2" fontId="31" fillId="0" borderId="18" xfId="28" applyNumberFormat="1" applyFont="1" applyFill="1" applyBorder="1" applyAlignment="1" applyProtection="1">
      <alignment vertical="center"/>
      <protection locked="0" hidden="1"/>
    </xf>
    <xf numFmtId="0" fontId="36" fillId="0" borderId="0" xfId="0" applyFont="1"/>
    <xf numFmtId="43" fontId="36" fillId="0" borderId="0" xfId="28" applyFont="1"/>
    <xf numFmtId="0" fontId="35" fillId="0" borderId="0" xfId="0" applyFont="1" applyAlignment="1">
      <alignment horizontal="right"/>
    </xf>
    <xf numFmtId="168" fontId="36" fillId="0" borderId="0" xfId="0" applyNumberFormat="1" applyFont="1" applyAlignment="1" applyProtection="1">
      <alignment horizontal="center"/>
      <protection locked="0"/>
    </xf>
    <xf numFmtId="0" fontId="35" fillId="0" borderId="0" xfId="0" applyFont="1" applyAlignment="1">
      <alignment horizontal="left"/>
    </xf>
    <xf numFmtId="0" fontId="36" fillId="0" borderId="0" xfId="0" applyFont="1" applyAlignment="1">
      <alignment horizontal="center"/>
    </xf>
    <xf numFmtId="0" fontId="36" fillId="0" borderId="0" xfId="0" applyFont="1" applyAlignment="1" applyProtection="1">
      <alignment horizontal="center"/>
      <protection hidden="1"/>
    </xf>
    <xf numFmtId="0" fontId="36" fillId="0" borderId="0" xfId="0" applyFont="1" applyAlignment="1">
      <alignment horizontal="right"/>
    </xf>
    <xf numFmtId="0" fontId="36" fillId="0" borderId="0" xfId="0" applyFont="1" applyProtection="1">
      <protection hidden="1"/>
    </xf>
    <xf numFmtId="43" fontId="36" fillId="0" borderId="0" xfId="28" applyFont="1" applyProtection="1">
      <protection hidden="1"/>
    </xf>
    <xf numFmtId="15" fontId="36" fillId="0" borderId="0" xfId="0" applyNumberFormat="1" applyFont="1"/>
    <xf numFmtId="0" fontId="35" fillId="0" borderId="0" xfId="0" applyFont="1"/>
    <xf numFmtId="0" fontId="36" fillId="0" borderId="0" xfId="0" applyFont="1" applyProtection="1">
      <protection locked="0"/>
    </xf>
    <xf numFmtId="43" fontId="36" fillId="0" borderId="0" xfId="28" applyFont="1" applyBorder="1" applyProtection="1">
      <protection hidden="1"/>
    </xf>
    <xf numFmtId="43" fontId="36" fillId="0" borderId="32" xfId="28" applyFont="1" applyBorder="1" applyProtection="1">
      <protection hidden="1"/>
    </xf>
    <xf numFmtId="43" fontId="36" fillId="0" borderId="0" xfId="0" applyNumberFormat="1" applyFont="1" applyProtection="1">
      <protection hidden="1"/>
    </xf>
    <xf numFmtId="164" fontId="36" fillId="0" borderId="0" xfId="28" applyNumberFormat="1" applyFont="1" applyProtection="1">
      <protection hidden="1"/>
    </xf>
    <xf numFmtId="165" fontId="36" fillId="0" borderId="0" xfId="28" applyNumberFormat="1" applyFont="1" applyProtection="1">
      <protection hidden="1"/>
    </xf>
    <xf numFmtId="43" fontId="36" fillId="0" borderId="0" xfId="0" applyNumberFormat="1" applyFont="1"/>
    <xf numFmtId="167" fontId="36" fillId="0" borderId="0" xfId="0" applyNumberFormat="1" applyFont="1"/>
    <xf numFmtId="43" fontId="35" fillId="0" borderId="0" xfId="28" applyFont="1" applyAlignment="1" applyProtection="1">
      <alignment horizontal="left" indent="1"/>
      <protection hidden="1"/>
    </xf>
    <xf numFmtId="0" fontId="35" fillId="0" borderId="0" xfId="0" applyFont="1" applyAlignment="1" applyProtection="1">
      <alignment horizontal="left" indent="1"/>
      <protection hidden="1"/>
    </xf>
    <xf numFmtId="39" fontId="31" fillId="0" borderId="15" xfId="28" applyNumberFormat="1" applyFont="1" applyFill="1" applyBorder="1" applyAlignment="1" applyProtection="1">
      <alignment horizontal="left" vertical="center" indent="1"/>
      <protection locked="0" hidden="1"/>
    </xf>
    <xf numFmtId="0" fontId="0" fillId="0" borderId="0" xfId="0" applyAlignment="1">
      <alignment horizontal="left" indent="1"/>
    </xf>
    <xf numFmtId="174" fontId="0" fillId="0" borderId="0" xfId="0" applyNumberFormat="1"/>
    <xf numFmtId="0" fontId="0" fillId="0" borderId="0" xfId="0" applyAlignment="1">
      <alignment vertical="center"/>
    </xf>
    <xf numFmtId="0" fontId="0" fillId="0" borderId="0" xfId="0" applyAlignment="1">
      <alignment horizontal="left" vertical="center" indent="1"/>
    </xf>
    <xf numFmtId="0" fontId="0" fillId="0" borderId="24" xfId="0"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horizontal="center" vertical="center"/>
    </xf>
    <xf numFmtId="0" fontId="39" fillId="0" borderId="83" xfId="0" applyFont="1" applyBorder="1" applyAlignment="1">
      <alignment vertical="center" wrapText="1"/>
    </xf>
    <xf numFmtId="0" fontId="7" fillId="0" borderId="0" xfId="0" applyFont="1"/>
    <xf numFmtId="178" fontId="0" fillId="0" borderId="84" xfId="0" applyNumberFormat="1" applyBorder="1" applyAlignment="1">
      <alignment horizontal="left" vertical="center" indent="1"/>
    </xf>
    <xf numFmtId="0" fontId="0" fillId="0" borderId="83" xfId="0" applyBorder="1" applyAlignment="1">
      <alignment horizontal="left" vertical="center" indent="1"/>
    </xf>
    <xf numFmtId="0" fontId="0" fillId="0" borderId="84" xfId="0" applyBorder="1" applyAlignment="1">
      <alignment horizontal="left" vertical="center" indent="1"/>
    </xf>
    <xf numFmtId="4" fontId="0" fillId="0" borderId="0" xfId="0" applyNumberFormat="1"/>
    <xf numFmtId="178" fontId="0" fillId="0" borderId="85" xfId="0" applyNumberFormat="1" applyBorder="1" applyAlignment="1">
      <alignment horizontal="left" vertical="center" indent="1"/>
    </xf>
    <xf numFmtId="0" fontId="0" fillId="0" borderId="85" xfId="0" applyBorder="1" applyAlignment="1">
      <alignment horizontal="left" vertical="center" indent="1"/>
    </xf>
    <xf numFmtId="0" fontId="0" fillId="0" borderId="85" xfId="0" applyBorder="1" applyAlignment="1">
      <alignment vertical="center"/>
    </xf>
    <xf numFmtId="178" fontId="6" fillId="0" borderId="0" xfId="0" applyNumberFormat="1" applyFont="1" applyAlignment="1">
      <alignment horizontal="left" vertical="center" indent="1"/>
    </xf>
    <xf numFmtId="2" fontId="0" fillId="0" borderId="0" xfId="0" applyNumberFormat="1"/>
    <xf numFmtId="178" fontId="0" fillId="0" borderId="0" xfId="0" applyNumberFormat="1" applyAlignment="1">
      <alignment horizontal="left" vertical="center" indent="1"/>
    </xf>
    <xf numFmtId="0" fontId="0" fillId="0" borderId="0" xfId="0" applyAlignment="1">
      <alignment horizontal="right" vertical="center" indent="1"/>
    </xf>
    <xf numFmtId="0" fontId="6" fillId="0" borderId="24" xfId="0" applyFont="1" applyBorder="1" applyAlignment="1">
      <alignment horizontal="center" vertical="center"/>
    </xf>
    <xf numFmtId="0" fontId="6" fillId="0" borderId="84" xfId="0" applyFont="1" applyBorder="1" applyAlignment="1">
      <alignment horizontal="left" vertical="center" wrapText="1" indent="1"/>
    </xf>
    <xf numFmtId="4" fontId="6" fillId="0" borderId="84" xfId="0" applyNumberFormat="1" applyFont="1" applyBorder="1" applyAlignment="1">
      <alignment horizontal="right" vertical="center"/>
    </xf>
    <xf numFmtId="0" fontId="6" fillId="0" borderId="84" xfId="0" applyFont="1" applyBorder="1" applyAlignment="1">
      <alignment horizontal="left" vertical="center" indent="1"/>
    </xf>
    <xf numFmtId="0" fontId="28" fillId="0" borderId="84" xfId="0" applyFont="1" applyBorder="1" applyAlignment="1">
      <alignment horizontal="left" vertical="center" wrapText="1" indent="1"/>
    </xf>
    <xf numFmtId="4" fontId="6" fillId="0" borderId="85" xfId="0" applyNumberFormat="1" applyFont="1" applyBorder="1" applyAlignment="1">
      <alignment horizontal="right" vertical="center"/>
    </xf>
    <xf numFmtId="174" fontId="40" fillId="0" borderId="29" xfId="0" applyNumberFormat="1" applyFont="1" applyBorder="1" applyAlignment="1">
      <alignment horizontal="right" vertical="center"/>
    </xf>
    <xf numFmtId="4" fontId="6" fillId="0" borderId="0" xfId="0" applyNumberFormat="1" applyFont="1" applyAlignment="1">
      <alignment horizontal="right" vertical="center"/>
    </xf>
    <xf numFmtId="0" fontId="8" fillId="0" borderId="11" xfId="0" applyFont="1" applyBorder="1" applyAlignment="1">
      <alignment horizontal="left" vertical="center" wrapText="1"/>
    </xf>
    <xf numFmtId="43" fontId="31" fillId="0" borderId="18" xfId="28" applyFont="1" applyFill="1" applyBorder="1" applyAlignment="1" applyProtection="1">
      <alignment vertical="center"/>
      <protection hidden="1"/>
    </xf>
    <xf numFmtId="15" fontId="31" fillId="0" borderId="17" xfId="0" applyNumberFormat="1" applyFont="1" applyBorder="1" applyAlignment="1" applyProtection="1">
      <alignment vertical="center"/>
      <protection hidden="1"/>
    </xf>
    <xf numFmtId="15" fontId="31" fillId="0" borderId="0" xfId="0" applyNumberFormat="1" applyFont="1" applyAlignment="1" applyProtection="1">
      <alignment vertical="center"/>
      <protection hidden="1"/>
    </xf>
    <xf numFmtId="165" fontId="31" fillId="0" borderId="0" xfId="28" applyNumberFormat="1" applyFont="1" applyFill="1" applyBorder="1" applyAlignment="1" applyProtection="1">
      <alignment vertical="center"/>
      <protection hidden="1"/>
    </xf>
    <xf numFmtId="0" fontId="31" fillId="0" borderId="0" xfId="0" applyFont="1" applyAlignment="1">
      <alignment horizontal="right"/>
    </xf>
    <xf numFmtId="39" fontId="31" fillId="23" borderId="15" xfId="28" applyNumberFormat="1" applyFont="1" applyFill="1" applyBorder="1" applyAlignment="1" applyProtection="1">
      <alignment horizontal="left" vertical="center" indent="1"/>
      <protection locked="0" hidden="1"/>
    </xf>
    <xf numFmtId="15" fontId="0" fillId="0" borderId="0" xfId="0" applyNumberFormat="1"/>
    <xf numFmtId="43" fontId="6" fillId="0" borderId="14" xfId="28" applyFont="1" applyBorder="1" applyAlignment="1">
      <alignment horizontal="left" vertical="center"/>
    </xf>
    <xf numFmtId="43" fontId="6" fillId="0" borderId="12" xfId="28" applyFont="1" applyBorder="1" applyAlignment="1">
      <alignment horizontal="left" vertical="center"/>
    </xf>
    <xf numFmtId="43" fontId="31" fillId="0" borderId="0" xfId="28" applyFont="1" applyFill="1"/>
    <xf numFmtId="43" fontId="33" fillId="0" borderId="29" xfId="28" applyFont="1" applyFill="1" applyBorder="1" applyAlignment="1" applyProtection="1">
      <alignment horizontal="center" vertical="center" wrapText="1"/>
      <protection hidden="1"/>
    </xf>
    <xf numFmtId="43" fontId="31" fillId="0" borderId="0" xfId="28" applyFont="1" applyFill="1" applyBorder="1"/>
    <xf numFmtId="43" fontId="33" fillId="0" borderId="28" xfId="28" applyFont="1" applyFill="1" applyBorder="1" applyAlignment="1">
      <alignment horizontal="center" vertical="center" wrapText="1"/>
    </xf>
    <xf numFmtId="0" fontId="31" fillId="0" borderId="0" xfId="0" applyFont="1" applyAlignment="1">
      <alignment horizontal="left" indent="1"/>
    </xf>
    <xf numFmtId="0" fontId="31" fillId="0" borderId="18" xfId="0" applyFont="1" applyBorder="1" applyAlignment="1" applyProtection="1">
      <alignment horizontal="left" vertical="center" indent="1"/>
      <protection hidden="1"/>
    </xf>
    <xf numFmtId="0" fontId="31" fillId="0" borderId="0" xfId="0" applyFont="1" applyAlignment="1" applyProtection="1">
      <alignment horizontal="left" vertical="center" indent="1"/>
      <protection hidden="1"/>
    </xf>
    <xf numFmtId="0" fontId="41" fillId="0" borderId="0" xfId="0" applyFont="1"/>
    <xf numFmtId="43" fontId="41" fillId="0" borderId="0" xfId="47" applyFont="1"/>
    <xf numFmtId="43" fontId="41" fillId="0" borderId="32" xfId="47" applyFont="1" applyBorder="1"/>
    <xf numFmtId="0" fontId="41" fillId="0" borderId="0" xfId="0" applyFont="1" applyAlignment="1">
      <alignment wrapText="1"/>
    </xf>
    <xf numFmtId="166" fontId="41" fillId="0" borderId="0" xfId="47" applyNumberFormat="1" applyFont="1"/>
    <xf numFmtId="43" fontId="42" fillId="0" borderId="0" xfId="47" applyFont="1" applyAlignment="1">
      <alignment horizontal="center" vertical="center"/>
    </xf>
    <xf numFmtId="43" fontId="41" fillId="0" borderId="0" xfId="47" applyFont="1" applyAlignment="1">
      <alignment vertical="center"/>
    </xf>
    <xf numFmtId="166" fontId="41" fillId="0" borderId="0" xfId="47" applyNumberFormat="1" applyFont="1" applyAlignment="1">
      <alignment vertical="center"/>
    </xf>
    <xf numFmtId="20" fontId="0" fillId="0" borderId="0" xfId="0" applyNumberFormat="1"/>
    <xf numFmtId="43" fontId="31" fillId="0" borderId="0" xfId="0" applyNumberFormat="1" applyFont="1" applyAlignment="1">
      <alignment wrapText="1"/>
    </xf>
    <xf numFmtId="43" fontId="31" fillId="0" borderId="0" xfId="0" applyNumberFormat="1" applyFont="1"/>
    <xf numFmtId="0" fontId="44" fillId="0" borderId="0" xfId="0" applyFont="1" applyAlignment="1">
      <alignment horizontal="center" vertical="center"/>
    </xf>
    <xf numFmtId="0" fontId="44" fillId="0" borderId="0" xfId="0" applyFont="1" applyAlignment="1">
      <alignment horizontal="center" vertical="center" wrapText="1"/>
    </xf>
    <xf numFmtId="176" fontId="31" fillId="0" borderId="81" xfId="50" applyNumberFormat="1" applyFont="1" applyBorder="1" applyAlignment="1">
      <alignment horizontal="right" vertical="center" indent="1"/>
    </xf>
    <xf numFmtId="165" fontId="31" fillId="0" borderId="81" xfId="50" applyNumberFormat="1" applyFont="1" applyBorder="1" applyAlignment="1">
      <alignment horizontal="right" vertical="center" indent="1"/>
    </xf>
    <xf numFmtId="166" fontId="31" fillId="0" borderId="0" xfId="50" applyNumberFormat="1" applyFont="1" applyFill="1" applyBorder="1" applyAlignment="1">
      <alignment vertical="center"/>
    </xf>
    <xf numFmtId="165" fontId="31" fillId="0" borderId="24" xfId="50" applyNumberFormat="1" applyFont="1" applyBorder="1" applyAlignment="1">
      <alignment horizontal="center" vertical="center"/>
    </xf>
    <xf numFmtId="176" fontId="31" fillId="0" borderId="24" xfId="50" applyNumberFormat="1" applyFont="1" applyBorder="1" applyAlignment="1">
      <alignment horizontal="right" vertical="center" indent="1"/>
    </xf>
    <xf numFmtId="165" fontId="31" fillId="0" borderId="24" xfId="50" applyNumberFormat="1" applyFont="1" applyBorder="1" applyAlignment="1">
      <alignment horizontal="right" vertical="center" indent="1"/>
    </xf>
    <xf numFmtId="43" fontId="31" fillId="0" borderId="0" xfId="50" applyFont="1" applyAlignment="1">
      <alignment vertical="center"/>
    </xf>
    <xf numFmtId="166" fontId="31" fillId="0" borderId="0" xfId="50" applyNumberFormat="1" applyFont="1"/>
    <xf numFmtId="166" fontId="6" fillId="0" borderId="0" xfId="50" applyNumberFormat="1" applyBorder="1" applyAlignment="1">
      <alignment vertical="center"/>
    </xf>
    <xf numFmtId="0" fontId="41" fillId="0" borderId="28" xfId="0" applyFont="1" applyBorder="1" applyAlignment="1">
      <alignment horizontal="center" vertical="center" textRotation="180" wrapText="1"/>
    </xf>
    <xf numFmtId="0" fontId="41" fillId="23" borderId="16" xfId="37" applyFont="1" applyFill="1" applyBorder="1" applyAlignment="1" applyProtection="1">
      <alignment horizontal="left" vertical="center" indent="1"/>
      <protection locked="0"/>
    </xf>
    <xf numFmtId="0" fontId="41" fillId="0" borderId="16" xfId="37" applyFont="1" applyFill="1" applyBorder="1" applyAlignment="1" applyProtection="1">
      <alignment horizontal="left" vertical="center" indent="1"/>
      <protection locked="0"/>
    </xf>
    <xf numFmtId="43" fontId="46" fillId="0" borderId="0" xfId="47" applyFont="1" applyAlignment="1">
      <alignment vertical="center"/>
    </xf>
    <xf numFmtId="43" fontId="45" fillId="0" borderId="0" xfId="0" applyNumberFormat="1" applyFont="1" applyAlignment="1">
      <alignment vertical="center"/>
    </xf>
    <xf numFmtId="0" fontId="47" fillId="0" borderId="0" xfId="0" applyFont="1"/>
    <xf numFmtId="0" fontId="48" fillId="0" borderId="0" xfId="0" applyFont="1"/>
    <xf numFmtId="0" fontId="47" fillId="0" borderId="0" xfId="0" applyFont="1" applyAlignment="1">
      <alignment vertical="center"/>
    </xf>
    <xf numFmtId="0" fontId="49" fillId="0" borderId="0" xfId="0" applyFont="1" applyAlignment="1">
      <alignment horizontal="right" vertical="center"/>
    </xf>
    <xf numFmtId="0" fontId="49" fillId="0" borderId="0" xfId="0" applyFont="1" applyAlignment="1">
      <alignment horizontal="right" vertical="center" indent="1"/>
    </xf>
    <xf numFmtId="170" fontId="47" fillId="0" borderId="0" xfId="0" applyNumberFormat="1" applyFont="1"/>
    <xf numFmtId="170" fontId="50" fillId="0" borderId="0" xfId="0" applyNumberFormat="1" applyFont="1"/>
    <xf numFmtId="169" fontId="51" fillId="0" borderId="0" xfId="0" applyNumberFormat="1" applyFont="1"/>
    <xf numFmtId="0" fontId="52" fillId="0" borderId="0" xfId="0" quotePrefix="1" applyFont="1" applyAlignment="1">
      <alignment horizontal="left" vertical="center" wrapText="1"/>
    </xf>
    <xf numFmtId="0" fontId="53" fillId="0" borderId="0" xfId="37" applyFont="1" applyAlignment="1" applyProtection="1">
      <alignment vertical="center"/>
    </xf>
    <xf numFmtId="0" fontId="47" fillId="0" borderId="0" xfId="0" applyFont="1" applyAlignment="1">
      <alignment horizontal="right" vertical="center" indent="1"/>
    </xf>
    <xf numFmtId="0" fontId="47" fillId="0" borderId="0" xfId="0" quotePrefix="1" applyFont="1" applyAlignment="1">
      <alignment horizontal="left" vertical="center"/>
    </xf>
    <xf numFmtId="0" fontId="54" fillId="0" borderId="0" xfId="37" applyFont="1" applyAlignment="1" applyProtection="1">
      <alignment vertical="center"/>
    </xf>
    <xf numFmtId="0" fontId="47" fillId="0" borderId="0" xfId="0" applyFont="1" applyAlignment="1">
      <alignment horizontal="right" vertical="center"/>
    </xf>
    <xf numFmtId="0" fontId="47" fillId="0" borderId="0" xfId="0" quotePrefix="1" applyFont="1" applyAlignment="1">
      <alignment horizontal="right" vertical="center" indent="1"/>
    </xf>
    <xf numFmtId="0" fontId="47" fillId="0" borderId="0" xfId="0" applyFont="1" applyAlignment="1">
      <alignment horizontal="left" vertical="center" indent="2"/>
    </xf>
    <xf numFmtId="0" fontId="47" fillId="0" borderId="0" xfId="0" applyFont="1" applyAlignment="1">
      <alignment horizontal="left" vertical="center"/>
    </xf>
    <xf numFmtId="0" fontId="47" fillId="0" borderId="0" xfId="0" applyFont="1" applyAlignment="1">
      <alignment horizontal="left" vertical="center" indent="3"/>
    </xf>
    <xf numFmtId="0" fontId="41" fillId="23" borderId="16" xfId="37" quotePrefix="1" applyFont="1" applyFill="1" applyBorder="1" applyAlignment="1" applyProtection="1">
      <alignment horizontal="left" vertical="center" indent="1"/>
      <protection locked="0"/>
    </xf>
    <xf numFmtId="43" fontId="31" fillId="0" borderId="24" xfId="50" applyFont="1" applyBorder="1" applyAlignment="1">
      <alignment vertical="center"/>
    </xf>
    <xf numFmtId="43" fontId="31" fillId="0" borderId="80" xfId="50" applyFont="1" applyBorder="1" applyAlignment="1">
      <alignment vertical="center"/>
    </xf>
    <xf numFmtId="43" fontId="31" fillId="0" borderId="81" xfId="50" applyFont="1" applyBorder="1" applyAlignment="1">
      <alignment vertical="center"/>
    </xf>
    <xf numFmtId="166" fontId="31" fillId="0" borderId="24" xfId="50" applyNumberFormat="1" applyFont="1" applyBorder="1"/>
    <xf numFmtId="166" fontId="31" fillId="0" borderId="79" xfId="50" applyNumberFormat="1" applyFont="1" applyBorder="1"/>
    <xf numFmtId="176" fontId="31" fillId="0" borderId="80" xfId="50" applyNumberFormat="1" applyFont="1" applyBorder="1" applyAlignment="1">
      <alignment horizontal="left" vertical="center" wrapText="1" indent="1"/>
    </xf>
    <xf numFmtId="0" fontId="41" fillId="0" borderId="16" xfId="37" quotePrefix="1" applyFont="1" applyFill="1" applyBorder="1" applyAlignment="1" applyProtection="1">
      <alignment horizontal="left" vertical="center" indent="1"/>
      <protection locked="0"/>
    </xf>
    <xf numFmtId="15" fontId="31" fillId="25" borderId="13" xfId="0" applyNumberFormat="1" applyFont="1" applyFill="1" applyBorder="1" applyAlignment="1" applyProtection="1">
      <alignment horizontal="left" vertical="center"/>
      <protection locked="0"/>
    </xf>
    <xf numFmtId="49" fontId="31" fillId="25" borderId="15" xfId="28" applyNumberFormat="1" applyFont="1" applyFill="1" applyBorder="1" applyAlignment="1" applyProtection="1">
      <alignment horizontal="left" vertical="center"/>
      <protection locked="0"/>
    </xf>
    <xf numFmtId="166" fontId="31" fillId="25" borderId="15" xfId="28" applyNumberFormat="1" applyFont="1" applyFill="1" applyBorder="1" applyAlignment="1" applyProtection="1">
      <alignment horizontal="left" vertical="center"/>
      <protection locked="0"/>
    </xf>
    <xf numFmtId="43" fontId="31" fillId="25" borderId="22" xfId="28" applyFont="1" applyFill="1" applyBorder="1" applyAlignment="1" applyProtection="1">
      <alignment horizontal="left" vertical="center"/>
      <protection hidden="1"/>
    </xf>
    <xf numFmtId="49" fontId="31" fillId="25" borderId="15" xfId="0" applyNumberFormat="1" applyFont="1" applyFill="1" applyBorder="1" applyAlignment="1" applyProtection="1">
      <alignment horizontal="left" vertical="center"/>
      <protection locked="0"/>
    </xf>
    <xf numFmtId="0" fontId="31" fillId="25" borderId="0" xfId="0" applyFont="1" applyFill="1" applyAlignment="1">
      <alignment horizontal="left" vertical="center"/>
    </xf>
    <xf numFmtId="43" fontId="31" fillId="25" borderId="15" xfId="28" applyFont="1" applyFill="1" applyBorder="1" applyAlignment="1" applyProtection="1">
      <alignment horizontal="left" vertical="center"/>
      <protection locked="0"/>
    </xf>
    <xf numFmtId="43" fontId="8" fillId="0" borderId="39" xfId="0" applyNumberFormat="1" applyFont="1" applyBorder="1" applyAlignment="1">
      <alignment horizontal="left" vertical="center" wrapText="1"/>
    </xf>
    <xf numFmtId="0" fontId="44" fillId="23" borderId="0" xfId="0" applyFont="1" applyFill="1" applyAlignment="1">
      <alignment horizontal="center" vertical="center" wrapText="1"/>
    </xf>
    <xf numFmtId="15" fontId="41" fillId="23" borderId="15" xfId="37" applyNumberFormat="1" applyFont="1" applyFill="1" applyBorder="1" applyAlignment="1" applyProtection="1">
      <alignment horizontal="left" vertical="center" indent="1"/>
      <protection locked="0"/>
    </xf>
    <xf numFmtId="39" fontId="31" fillId="23" borderId="15" xfId="28" applyNumberFormat="1" applyFont="1" applyFill="1" applyBorder="1" applyAlignment="1" applyProtection="1">
      <alignment horizontal="left" vertical="center" indent="1"/>
      <protection hidden="1"/>
    </xf>
    <xf numFmtId="0" fontId="57" fillId="0" borderId="0" xfId="0" applyFont="1" applyAlignment="1">
      <alignment vertical="center"/>
    </xf>
    <xf numFmtId="0" fontId="41" fillId="0" borderId="0" xfId="46" applyFont="1"/>
    <xf numFmtId="0" fontId="41" fillId="0" borderId="0" xfId="46" applyFont="1" applyAlignment="1">
      <alignment horizontal="left" indent="1"/>
    </xf>
    <xf numFmtId="43" fontId="41" fillId="0" borderId="0" xfId="28" applyFont="1"/>
    <xf numFmtId="43" fontId="41" fillId="0" borderId="0" xfId="28" applyFont="1" applyFill="1"/>
    <xf numFmtId="0" fontId="58" fillId="0" borderId="42" xfId="46" applyFont="1" applyBorder="1" applyAlignment="1">
      <alignment horizontal="center" vertical="center" wrapText="1"/>
    </xf>
    <xf numFmtId="0" fontId="58" fillId="0" borderId="43" xfId="46" applyFont="1" applyBorder="1" applyAlignment="1">
      <alignment horizontal="center" vertical="center" wrapText="1"/>
    </xf>
    <xf numFmtId="43" fontId="58" fillId="21" borderId="44" xfId="28" applyFont="1" applyFill="1" applyBorder="1" applyAlignment="1">
      <alignment horizontal="center" vertical="center" wrapText="1"/>
    </xf>
    <xf numFmtId="43" fontId="58" fillId="0" borderId="43" xfId="28" applyFont="1" applyBorder="1" applyAlignment="1">
      <alignment horizontal="center" vertical="center" wrapText="1"/>
    </xf>
    <xf numFmtId="0" fontId="58" fillId="0" borderId="45" xfId="46" applyFont="1" applyBorder="1" applyAlignment="1">
      <alignment horizontal="center" vertical="center" wrapText="1"/>
    </xf>
    <xf numFmtId="0" fontId="41" fillId="0" borderId="0" xfId="46" applyFont="1" applyAlignment="1">
      <alignment horizontal="left" wrapText="1" indent="1"/>
    </xf>
    <xf numFmtId="0" fontId="41" fillId="0" borderId="0" xfId="46" applyFont="1" applyAlignment="1">
      <alignment horizontal="left" vertical="center" wrapText="1" indent="1"/>
    </xf>
    <xf numFmtId="0" fontId="41" fillId="0" borderId="0" xfId="46" applyFont="1" applyAlignment="1">
      <alignment vertical="center"/>
    </xf>
    <xf numFmtId="0" fontId="41" fillId="0" borderId="46" xfId="46" applyFont="1" applyBorder="1" applyAlignment="1">
      <alignment vertical="center"/>
    </xf>
    <xf numFmtId="0" fontId="58" fillId="0" borderId="47" xfId="46" applyFont="1" applyBorder="1" applyAlignment="1">
      <alignment vertical="center"/>
    </xf>
    <xf numFmtId="0" fontId="41" fillId="0" borderId="47" xfId="46" applyFont="1" applyBorder="1" applyAlignment="1">
      <alignment vertical="center"/>
    </xf>
    <xf numFmtId="172" fontId="41" fillId="0" borderId="24" xfId="46" applyNumberFormat="1" applyFont="1" applyBorder="1" applyAlignment="1">
      <alignment horizontal="left" vertical="center" indent="1"/>
    </xf>
    <xf numFmtId="0" fontId="41" fillId="0" borderId="47" xfId="46" applyFont="1" applyBorder="1" applyAlignment="1">
      <alignment horizontal="left" vertical="center" indent="1"/>
    </xf>
    <xf numFmtId="43" fontId="41" fillId="21" borderId="47" xfId="28" applyFont="1" applyFill="1" applyBorder="1" applyAlignment="1">
      <alignment vertical="center"/>
    </xf>
    <xf numFmtId="43" fontId="41" fillId="0" borderId="47" xfId="28" applyFont="1" applyFill="1" applyBorder="1" applyAlignment="1">
      <alignment vertical="center"/>
    </xf>
    <xf numFmtId="0" fontId="41" fillId="0" borderId="48" xfId="46" applyFont="1" applyBorder="1" applyAlignment="1">
      <alignment vertical="center"/>
    </xf>
    <xf numFmtId="0" fontId="41" fillId="0" borderId="0" xfId="46" applyFont="1" applyAlignment="1">
      <alignment vertical="center" wrapText="1"/>
    </xf>
    <xf numFmtId="173" fontId="41" fillId="0" borderId="0" xfId="46" applyNumberFormat="1" applyFont="1" applyAlignment="1">
      <alignment vertical="center"/>
    </xf>
    <xf numFmtId="174" fontId="41" fillId="0" borderId="0" xfId="46" applyNumberFormat="1" applyFont="1" applyAlignment="1">
      <alignment vertical="center" wrapText="1"/>
    </xf>
    <xf numFmtId="0" fontId="41" fillId="0" borderId="49" xfId="46" applyFont="1" applyBorder="1" applyAlignment="1">
      <alignment vertical="center"/>
    </xf>
    <xf numFmtId="174" fontId="41" fillId="0" borderId="0" xfId="46" applyNumberFormat="1" applyFont="1" applyAlignment="1">
      <alignment vertical="center"/>
    </xf>
    <xf numFmtId="0" fontId="41" fillId="0" borderId="50" xfId="46" applyFont="1" applyBorder="1"/>
    <xf numFmtId="0" fontId="41" fillId="0" borderId="51" xfId="46" applyFont="1" applyBorder="1"/>
    <xf numFmtId="172" fontId="41" fillId="0" borderId="0" xfId="46" applyNumberFormat="1" applyFont="1" applyAlignment="1">
      <alignment horizontal="left" indent="1"/>
    </xf>
    <xf numFmtId="0" fontId="41" fillId="0" borderId="51" xfId="46" applyFont="1" applyBorder="1" applyAlignment="1">
      <alignment horizontal="left" indent="1"/>
    </xf>
    <xf numFmtId="43" fontId="41" fillId="21" borderId="51" xfId="28" applyFont="1" applyFill="1" applyBorder="1"/>
    <xf numFmtId="43" fontId="41" fillId="0" borderId="51" xfId="28" applyFont="1" applyFill="1" applyBorder="1"/>
    <xf numFmtId="0" fontId="41" fillId="0" borderId="14" xfId="46" applyFont="1" applyBorder="1"/>
    <xf numFmtId="0" fontId="41" fillId="0" borderId="0" xfId="46" applyFont="1" applyAlignment="1">
      <alignment wrapText="1"/>
    </xf>
    <xf numFmtId="173" fontId="41" fillId="0" borderId="0" xfId="46" applyNumberFormat="1" applyFont="1"/>
    <xf numFmtId="174" fontId="41" fillId="0" borderId="0" xfId="46" applyNumberFormat="1" applyFont="1"/>
    <xf numFmtId="0" fontId="58" fillId="0" borderId="53" xfId="46" applyFont="1" applyBorder="1"/>
    <xf numFmtId="172" fontId="41" fillId="0" borderId="30" xfId="46" applyNumberFormat="1" applyFont="1" applyBorder="1" applyAlignment="1">
      <alignment horizontal="left" indent="1"/>
    </xf>
    <xf numFmtId="0" fontId="41" fillId="0" borderId="53" xfId="46" applyFont="1" applyBorder="1" applyAlignment="1">
      <alignment horizontal="left" indent="1"/>
    </xf>
    <xf numFmtId="43" fontId="41" fillId="21" borderId="53" xfId="28" applyFont="1" applyFill="1" applyBorder="1"/>
    <xf numFmtId="43" fontId="41" fillId="0" borderId="53" xfId="28" applyFont="1" applyFill="1" applyBorder="1"/>
    <xf numFmtId="174" fontId="41" fillId="0" borderId="0" xfId="46" applyNumberFormat="1" applyFont="1" applyAlignment="1">
      <alignment horizontal="center"/>
    </xf>
    <xf numFmtId="0" fontId="41" fillId="0" borderId="47" xfId="46" applyFont="1" applyBorder="1" applyAlignment="1">
      <alignment wrapText="1"/>
    </xf>
    <xf numFmtId="0" fontId="41" fillId="0" borderId="47" xfId="46" applyFont="1" applyBorder="1" applyAlignment="1">
      <alignment horizontal="left" indent="1"/>
    </xf>
    <xf numFmtId="43" fontId="41" fillId="21" borderId="47" xfId="28" applyFont="1" applyFill="1" applyBorder="1" applyAlignment="1">
      <alignment horizontal="left"/>
    </xf>
    <xf numFmtId="174" fontId="59" fillId="0" borderId="0" xfId="46" applyNumberFormat="1" applyFont="1"/>
    <xf numFmtId="0" fontId="41" fillId="0" borderId="49" xfId="46" applyFont="1" applyBorder="1"/>
    <xf numFmtId="0" fontId="41" fillId="0" borderId="52" xfId="46" applyFont="1" applyBorder="1"/>
    <xf numFmtId="0" fontId="41" fillId="0" borderId="53" xfId="46" applyFont="1" applyBorder="1"/>
    <xf numFmtId="0" fontId="41" fillId="0" borderId="57" xfId="46" applyFont="1" applyBorder="1" applyAlignment="1">
      <alignment horizontal="left" vertical="center"/>
    </xf>
    <xf numFmtId="0" fontId="41" fillId="0" borderId="58" xfId="46" applyFont="1" applyBorder="1" applyAlignment="1">
      <alignment horizontal="left" vertical="center"/>
    </xf>
    <xf numFmtId="172" fontId="41" fillId="0" borderId="59" xfId="46" applyNumberFormat="1" applyFont="1" applyBorder="1" applyAlignment="1">
      <alignment horizontal="left" vertical="center" indent="1"/>
    </xf>
    <xf numFmtId="0" fontId="41" fillId="0" borderId="58" xfId="46" applyFont="1" applyBorder="1" applyAlignment="1">
      <alignment horizontal="left" vertical="center" indent="1"/>
    </xf>
    <xf numFmtId="43" fontId="41" fillId="21" borderId="58" xfId="28" applyFont="1" applyFill="1" applyBorder="1" applyAlignment="1">
      <alignment horizontal="left" vertical="center"/>
    </xf>
    <xf numFmtId="43" fontId="41" fillId="0" borderId="58" xfId="28" applyFont="1" applyFill="1" applyBorder="1" applyAlignment="1">
      <alignment horizontal="left" vertical="center"/>
    </xf>
    <xf numFmtId="173" fontId="59" fillId="0" borderId="0" xfId="46" applyNumberFormat="1" applyFont="1"/>
    <xf numFmtId="0" fontId="41" fillId="0" borderId="50" xfId="46" applyFont="1" applyBorder="1" applyAlignment="1">
      <alignment horizontal="left" vertical="center"/>
    </xf>
    <xf numFmtId="0" fontId="41" fillId="0" borderId="51" xfId="46" applyFont="1" applyBorder="1" applyAlignment="1">
      <alignment horizontal="left" vertical="center"/>
    </xf>
    <xf numFmtId="172" fontId="41" fillId="0" borderId="0" xfId="46" applyNumberFormat="1" applyFont="1" applyAlignment="1">
      <alignment horizontal="left" vertical="center" indent="1"/>
    </xf>
    <xf numFmtId="0" fontId="41" fillId="0" borderId="51" xfId="46" applyFont="1" applyBorder="1" applyAlignment="1">
      <alignment horizontal="left" vertical="center" indent="1"/>
    </xf>
    <xf numFmtId="43" fontId="41" fillId="0" borderId="62" xfId="28" applyFont="1" applyFill="1" applyBorder="1" applyAlignment="1">
      <alignment horizontal="left" vertical="center"/>
    </xf>
    <xf numFmtId="0" fontId="41" fillId="0" borderId="62" xfId="46" applyFont="1" applyBorder="1" applyAlignment="1">
      <alignment horizontal="left" vertical="center" wrapText="1" indent="1"/>
    </xf>
    <xf numFmtId="0" fontId="41" fillId="0" borderId="0" xfId="46" applyFont="1" applyAlignment="1">
      <alignment horizontal="left" wrapText="1"/>
    </xf>
    <xf numFmtId="43" fontId="41" fillId="0" borderId="62" xfId="28" applyFont="1" applyFill="1" applyBorder="1" applyAlignment="1">
      <alignment vertical="center"/>
    </xf>
    <xf numFmtId="172" fontId="41" fillId="0" borderId="51" xfId="46" applyNumberFormat="1" applyFont="1" applyBorder="1" applyAlignment="1">
      <alignment horizontal="left" vertical="center" indent="1"/>
    </xf>
    <xf numFmtId="43" fontId="41" fillId="21" borderId="51" xfId="28" applyFont="1" applyFill="1" applyBorder="1" applyAlignment="1">
      <alignment vertical="center"/>
    </xf>
    <xf numFmtId="43" fontId="41" fillId="0" borderId="51" xfId="28" applyFont="1" applyFill="1" applyBorder="1" applyAlignment="1">
      <alignment vertical="center"/>
    </xf>
    <xf numFmtId="43" fontId="41" fillId="0" borderId="58" xfId="28" applyFont="1" applyFill="1" applyBorder="1" applyAlignment="1">
      <alignment vertical="center"/>
    </xf>
    <xf numFmtId="0" fontId="41" fillId="0" borderId="59" xfId="46" applyFont="1" applyBorder="1" applyAlignment="1">
      <alignment horizontal="left" vertical="center" wrapText="1" indent="1"/>
    </xf>
    <xf numFmtId="0" fontId="41" fillId="0" borderId="60" xfId="46" applyFont="1" applyBorder="1" applyAlignment="1">
      <alignment horizontal="left" vertical="center" wrapText="1"/>
    </xf>
    <xf numFmtId="0" fontId="41" fillId="0" borderId="65" xfId="46" applyFont="1" applyBorder="1" applyAlignment="1">
      <alignment horizontal="left" vertical="center"/>
    </xf>
    <xf numFmtId="0" fontId="41" fillId="0" borderId="66" xfId="46" applyFont="1" applyBorder="1" applyAlignment="1">
      <alignment horizontal="left" vertical="center"/>
    </xf>
    <xf numFmtId="172" fontId="41" fillId="0" borderId="66" xfId="46" applyNumberFormat="1" applyFont="1" applyBorder="1" applyAlignment="1">
      <alignment horizontal="left" vertical="center" indent="1"/>
    </xf>
    <xf numFmtId="43" fontId="41" fillId="21" borderId="66" xfId="28" applyFont="1" applyFill="1" applyBorder="1" applyAlignment="1">
      <alignment horizontal="left" vertical="center"/>
    </xf>
    <xf numFmtId="43" fontId="41" fillId="0" borderId="66" xfId="28" applyFont="1" applyFill="1" applyBorder="1" applyAlignment="1">
      <alignment horizontal="left" vertical="center"/>
    </xf>
    <xf numFmtId="0" fontId="41" fillId="0" borderId="67" xfId="46" applyFont="1" applyBorder="1" applyAlignment="1">
      <alignment horizontal="left" vertical="center" indent="1"/>
    </xf>
    <xf numFmtId="0" fontId="41" fillId="0" borderId="68" xfId="46" applyFont="1" applyBorder="1" applyAlignment="1">
      <alignment horizontal="left" vertical="center"/>
    </xf>
    <xf numFmtId="0" fontId="41" fillId="22" borderId="66" xfId="46" applyFont="1" applyFill="1" applyBorder="1" applyAlignment="1">
      <alignment horizontal="left" vertical="center"/>
    </xf>
    <xf numFmtId="172" fontId="41" fillId="22" borderId="66" xfId="46" applyNumberFormat="1" applyFont="1" applyFill="1" applyBorder="1" applyAlignment="1">
      <alignment horizontal="left" vertical="center" indent="1"/>
    </xf>
    <xf numFmtId="0" fontId="41" fillId="22" borderId="66" xfId="46" applyFont="1" applyFill="1" applyBorder="1" applyAlignment="1">
      <alignment horizontal="left" vertical="center" indent="1"/>
    </xf>
    <xf numFmtId="0" fontId="41" fillId="0" borderId="0" xfId="46" applyFont="1" applyAlignment="1">
      <alignment horizontal="center"/>
    </xf>
    <xf numFmtId="0" fontId="41" fillId="0" borderId="68" xfId="46" applyFont="1" applyBorder="1" applyAlignment="1">
      <alignment horizontal="left" vertical="center" wrapText="1"/>
    </xf>
    <xf numFmtId="0" fontId="41" fillId="0" borderId="52" xfId="46" applyFont="1" applyBorder="1" applyAlignment="1">
      <alignment vertical="center"/>
    </xf>
    <xf numFmtId="0" fontId="58" fillId="0" borderId="53" xfId="46" applyFont="1" applyBorder="1" applyAlignment="1">
      <alignment vertical="center"/>
    </xf>
    <xf numFmtId="0" fontId="41" fillId="0" borderId="53" xfId="46" applyFont="1" applyBorder="1" applyAlignment="1">
      <alignment vertical="center"/>
    </xf>
    <xf numFmtId="172" fontId="41" fillId="0" borderId="53" xfId="46" applyNumberFormat="1" applyFont="1" applyBorder="1" applyAlignment="1">
      <alignment horizontal="left" vertical="center"/>
    </xf>
    <xf numFmtId="0" fontId="41" fillId="0" borderId="53" xfId="46" applyFont="1" applyBorder="1" applyAlignment="1">
      <alignment horizontal="left" vertical="center" indent="1"/>
    </xf>
    <xf numFmtId="43" fontId="41" fillId="21" borderId="53" xfId="28" applyFont="1" applyFill="1" applyBorder="1" applyAlignment="1">
      <alignment vertical="center"/>
    </xf>
    <xf numFmtId="43" fontId="41" fillId="0" borderId="53" xfId="28" applyFont="1" applyFill="1" applyBorder="1" applyAlignment="1">
      <alignment vertical="center"/>
    </xf>
    <xf numFmtId="0" fontId="41" fillId="0" borderId="69" xfId="46" applyFont="1" applyBorder="1" applyAlignment="1">
      <alignment horizontal="left" vertical="center"/>
    </xf>
    <xf numFmtId="0" fontId="41" fillId="0" borderId="54" xfId="46" applyFont="1" applyBorder="1" applyAlignment="1">
      <alignment vertical="center"/>
    </xf>
    <xf numFmtId="0" fontId="41" fillId="0" borderId="70" xfId="46" applyFont="1" applyBorder="1" applyAlignment="1">
      <alignment vertical="center"/>
    </xf>
    <xf numFmtId="0" fontId="41" fillId="0" borderId="71" xfId="46" applyFont="1" applyBorder="1" applyAlignment="1">
      <alignment vertical="center"/>
    </xf>
    <xf numFmtId="0" fontId="41" fillId="0" borderId="71" xfId="46" applyFont="1" applyBorder="1" applyAlignment="1">
      <alignment vertical="center" wrapText="1"/>
    </xf>
    <xf numFmtId="172" fontId="41" fillId="0" borderId="71" xfId="46" applyNumberFormat="1" applyFont="1" applyBorder="1" applyAlignment="1">
      <alignment horizontal="left" vertical="center"/>
    </xf>
    <xf numFmtId="0" fontId="41" fillId="0" borderId="71" xfId="46" applyFont="1" applyBorder="1" applyAlignment="1">
      <alignment horizontal="left" vertical="center" indent="1"/>
    </xf>
    <xf numFmtId="43" fontId="41" fillId="21" borderId="71" xfId="28" applyFont="1" applyFill="1" applyBorder="1"/>
    <xf numFmtId="43" fontId="41" fillId="0" borderId="71" xfId="28" applyFont="1" applyFill="1" applyBorder="1"/>
    <xf numFmtId="0" fontId="41" fillId="0" borderId="72" xfId="46" applyFont="1" applyBorder="1" applyAlignment="1">
      <alignment horizontal="left" vertical="center"/>
    </xf>
    <xf numFmtId="0" fontId="41" fillId="0" borderId="73" xfId="46" applyFont="1" applyBorder="1" applyAlignment="1">
      <alignment vertical="center" wrapText="1"/>
    </xf>
    <xf numFmtId="172" fontId="41" fillId="0" borderId="0" xfId="46" applyNumberFormat="1" applyFont="1" applyAlignment="1">
      <alignment horizontal="left" vertical="center"/>
    </xf>
    <xf numFmtId="0" fontId="41" fillId="0" borderId="0" xfId="46" applyFont="1" applyAlignment="1">
      <alignment horizontal="left" vertical="center" indent="1"/>
    </xf>
    <xf numFmtId="43" fontId="41" fillId="0" borderId="0" xfId="28" applyFont="1" applyBorder="1"/>
    <xf numFmtId="43" fontId="41" fillId="0" borderId="0" xfId="28" applyFont="1" applyFill="1" applyBorder="1"/>
    <xf numFmtId="0" fontId="41" fillId="0" borderId="0" xfId="46" applyFont="1" applyAlignment="1">
      <alignment horizontal="left" vertical="center"/>
    </xf>
    <xf numFmtId="0" fontId="41" fillId="0" borderId="74" xfId="46" applyFont="1" applyBorder="1" applyAlignment="1">
      <alignment vertical="center"/>
    </xf>
    <xf numFmtId="0" fontId="58" fillId="0" borderId="75" xfId="46" applyFont="1" applyBorder="1" applyAlignment="1">
      <alignment vertical="center"/>
    </xf>
    <xf numFmtId="0" fontId="41" fillId="0" borderId="76" xfId="46" applyFont="1" applyBorder="1" applyAlignment="1">
      <alignment vertical="center"/>
    </xf>
    <xf numFmtId="172" fontId="41" fillId="0" borderId="77" xfId="46" applyNumberFormat="1" applyFont="1" applyBorder="1" applyAlignment="1">
      <alignment horizontal="left" vertical="center"/>
    </xf>
    <xf numFmtId="43" fontId="41" fillId="21" borderId="77" xfId="28" applyFont="1" applyFill="1" applyBorder="1" applyAlignment="1">
      <alignment vertical="center"/>
    </xf>
    <xf numFmtId="43" fontId="41" fillId="0" borderId="77" xfId="28" applyFont="1" applyFill="1" applyBorder="1" applyAlignment="1">
      <alignment vertical="center"/>
    </xf>
    <xf numFmtId="0" fontId="41" fillId="0" borderId="77" xfId="46" applyFont="1" applyBorder="1" applyAlignment="1">
      <alignment horizontal="left" vertical="center"/>
    </xf>
    <xf numFmtId="0" fontId="41" fillId="0" borderId="19" xfId="46" applyFont="1" applyBorder="1" applyAlignment="1">
      <alignment vertical="center"/>
    </xf>
    <xf numFmtId="0" fontId="41" fillId="0" borderId="50" xfId="46" applyFont="1" applyBorder="1" applyAlignment="1">
      <alignment vertical="center"/>
    </xf>
    <xf numFmtId="0" fontId="41" fillId="0" borderId="62" xfId="46" applyFont="1" applyBorder="1" applyAlignment="1">
      <alignment vertical="center"/>
    </xf>
    <xf numFmtId="173" fontId="41" fillId="0" borderId="51" xfId="46" applyNumberFormat="1" applyFont="1" applyBorder="1" applyAlignment="1">
      <alignment vertical="center"/>
    </xf>
    <xf numFmtId="172" fontId="41" fillId="0" borderId="78" xfId="46" applyNumberFormat="1" applyFont="1" applyBorder="1" applyAlignment="1">
      <alignment horizontal="left" vertical="center"/>
    </xf>
    <xf numFmtId="43" fontId="41" fillId="21" borderId="78" xfId="28" applyFont="1" applyFill="1" applyBorder="1" applyAlignment="1">
      <alignment horizontal="left" vertical="center"/>
    </xf>
    <xf numFmtId="43" fontId="41" fillId="0" borderId="78" xfId="28" applyFont="1" applyFill="1" applyBorder="1" applyAlignment="1">
      <alignment horizontal="left" vertical="center"/>
    </xf>
    <xf numFmtId="17" fontId="41" fillId="0" borderId="78" xfId="46" applyNumberFormat="1" applyFont="1" applyBorder="1" applyAlignment="1">
      <alignment horizontal="left" vertical="center"/>
    </xf>
    <xf numFmtId="0" fontId="41" fillId="0" borderId="14" xfId="46" applyFont="1" applyBorder="1" applyAlignment="1">
      <alignment vertical="center"/>
    </xf>
    <xf numFmtId="0" fontId="41" fillId="24" borderId="51" xfId="46" applyFont="1" applyFill="1" applyBorder="1" applyAlignment="1">
      <alignment vertical="center"/>
    </xf>
    <xf numFmtId="173" fontId="59" fillId="24" borderId="51" xfId="46" applyNumberFormat="1" applyFont="1" applyFill="1" applyBorder="1" applyAlignment="1">
      <alignment vertical="center"/>
    </xf>
    <xf numFmtId="172" fontId="41" fillId="24" borderId="78" xfId="46" applyNumberFormat="1" applyFont="1" applyFill="1" applyBorder="1" applyAlignment="1">
      <alignment horizontal="left" vertical="center"/>
    </xf>
    <xf numFmtId="43" fontId="41" fillId="24" borderId="78" xfId="28" applyFont="1" applyFill="1" applyBorder="1"/>
    <xf numFmtId="43" fontId="41" fillId="0" borderId="78" xfId="28" applyFont="1" applyFill="1" applyBorder="1"/>
    <xf numFmtId="0" fontId="41" fillId="0" borderId="78" xfId="46" applyFont="1" applyBorder="1" applyAlignment="1">
      <alignment horizontal="left" vertical="center"/>
    </xf>
    <xf numFmtId="0" fontId="41" fillId="0" borderId="51" xfId="46" applyFont="1" applyBorder="1" applyAlignment="1">
      <alignment vertical="center"/>
    </xf>
    <xf numFmtId="43" fontId="41" fillId="21" borderId="78" xfId="28" applyFont="1" applyFill="1" applyBorder="1" applyAlignment="1">
      <alignment vertical="center"/>
    </xf>
    <xf numFmtId="43" fontId="41" fillId="21" borderId="78" xfId="28" applyFont="1" applyFill="1" applyBorder="1"/>
    <xf numFmtId="43" fontId="41" fillId="0" borderId="78" xfId="28" applyFont="1" applyFill="1" applyBorder="1" applyAlignment="1">
      <alignment vertical="center"/>
    </xf>
    <xf numFmtId="173" fontId="41" fillId="24" borderId="51" xfId="46" applyNumberFormat="1" applyFont="1" applyFill="1" applyBorder="1" applyAlignment="1">
      <alignment vertical="center"/>
    </xf>
    <xf numFmtId="172" fontId="41" fillId="24" borderId="78" xfId="46" quotePrefix="1" applyNumberFormat="1" applyFont="1" applyFill="1" applyBorder="1" applyAlignment="1">
      <alignment horizontal="left" vertical="center"/>
    </xf>
    <xf numFmtId="43" fontId="41" fillId="24" borderId="78" xfId="28" applyFont="1" applyFill="1" applyBorder="1" applyAlignment="1">
      <alignment vertical="center"/>
    </xf>
    <xf numFmtId="172" fontId="41" fillId="0" borderId="78" xfId="46" quotePrefix="1" applyNumberFormat="1" applyFont="1" applyBorder="1" applyAlignment="1">
      <alignment horizontal="left" vertical="center"/>
    </xf>
    <xf numFmtId="43" fontId="41" fillId="21" borderId="78" xfId="28" applyFont="1" applyFill="1" applyBorder="1" applyAlignment="1">
      <alignment vertical="center" wrapText="1"/>
    </xf>
    <xf numFmtId="43" fontId="41" fillId="0" borderId="78" xfId="28" applyFont="1" applyFill="1" applyBorder="1" applyAlignment="1">
      <alignment vertical="center" wrapText="1"/>
    </xf>
    <xf numFmtId="43" fontId="41" fillId="24" borderId="78" xfId="28" applyFont="1" applyFill="1" applyBorder="1" applyAlignment="1">
      <alignment vertical="center" wrapText="1"/>
    </xf>
    <xf numFmtId="174" fontId="41" fillId="0" borderId="14" xfId="46" applyNumberFormat="1" applyFont="1" applyBorder="1" applyAlignment="1">
      <alignment vertical="center"/>
    </xf>
    <xf numFmtId="180" fontId="41" fillId="0" borderId="78" xfId="46" applyNumberFormat="1" applyFont="1" applyBorder="1" applyAlignment="1">
      <alignment horizontal="left" vertical="center"/>
    </xf>
    <xf numFmtId="180" fontId="41" fillId="24" borderId="78" xfId="46" applyNumberFormat="1" applyFont="1" applyFill="1" applyBorder="1" applyAlignment="1">
      <alignment horizontal="left" vertical="center"/>
    </xf>
    <xf numFmtId="173" fontId="41" fillId="0" borderId="51" xfId="46" applyNumberFormat="1" applyFont="1" applyBorder="1"/>
    <xf numFmtId="175" fontId="41" fillId="0" borderId="51" xfId="46" applyNumberFormat="1" applyFont="1" applyBorder="1"/>
    <xf numFmtId="173" fontId="59" fillId="0" borderId="51" xfId="46" applyNumberFormat="1" applyFont="1" applyBorder="1"/>
    <xf numFmtId="2" fontId="41" fillId="0" borderId="51" xfId="46" applyNumberFormat="1" applyFont="1" applyBorder="1"/>
    <xf numFmtId="0" fontId="41" fillId="0" borderId="55" xfId="46" applyFont="1" applyBorder="1"/>
    <xf numFmtId="0" fontId="41" fillId="0" borderId="47" xfId="46" applyFont="1" applyBorder="1"/>
    <xf numFmtId="173" fontId="41" fillId="0" borderId="47" xfId="46" applyNumberFormat="1" applyFont="1" applyBorder="1"/>
    <xf numFmtId="175" fontId="41" fillId="0" borderId="47" xfId="46" applyNumberFormat="1" applyFont="1" applyBorder="1"/>
    <xf numFmtId="0" fontId="41" fillId="0" borderId="24" xfId="46" applyFont="1" applyBorder="1" applyAlignment="1">
      <alignment horizontal="left" indent="1"/>
    </xf>
    <xf numFmtId="43" fontId="41" fillId="0" borderId="47" xfId="28" applyFont="1" applyFill="1" applyBorder="1"/>
    <xf numFmtId="173" fontId="41" fillId="0" borderId="53" xfId="46" applyNumberFormat="1" applyFont="1" applyBorder="1" applyAlignment="1">
      <alignment vertical="center"/>
    </xf>
    <xf numFmtId="175" fontId="41" fillId="0" borderId="53" xfId="46" applyNumberFormat="1" applyFont="1" applyBorder="1" applyAlignment="1">
      <alignment vertical="center"/>
    </xf>
    <xf numFmtId="0" fontId="41" fillId="0" borderId="30" xfId="46" applyFont="1" applyBorder="1" applyAlignment="1">
      <alignment horizontal="left" vertical="center"/>
    </xf>
    <xf numFmtId="0" fontId="41" fillId="0" borderId="53" xfId="46" applyFont="1" applyBorder="1" applyAlignment="1">
      <alignment horizontal="left" vertical="center"/>
    </xf>
    <xf numFmtId="174" fontId="59" fillId="0" borderId="0" xfId="46" applyNumberFormat="1" applyFont="1" applyAlignment="1">
      <alignment wrapText="1"/>
    </xf>
    <xf numFmtId="43" fontId="41" fillId="0" borderId="0" xfId="28" applyFont="1" applyAlignment="1">
      <alignment horizontal="left"/>
    </xf>
    <xf numFmtId="43" fontId="41" fillId="0" borderId="0" xfId="28" applyFont="1" applyFill="1" applyAlignment="1">
      <alignment horizontal="left"/>
    </xf>
    <xf numFmtId="175" fontId="41" fillId="0" borderId="0" xfId="46" applyNumberFormat="1" applyFont="1"/>
    <xf numFmtId="0" fontId="41" fillId="0" borderId="63" xfId="46" applyFont="1" applyBorder="1" applyAlignment="1">
      <alignment horizontal="left" vertical="center"/>
    </xf>
    <xf numFmtId="0" fontId="41" fillId="0" borderId="108" xfId="46" applyFont="1" applyBorder="1" applyAlignment="1">
      <alignment horizontal="left" vertical="center"/>
    </xf>
    <xf numFmtId="43" fontId="41" fillId="21" borderId="61" xfId="28" applyFont="1" applyFill="1" applyBorder="1" applyAlignment="1">
      <alignment horizontal="left" vertical="center"/>
    </xf>
    <xf numFmtId="43" fontId="41" fillId="0" borderId="61" xfId="28" applyFont="1" applyFill="1" applyBorder="1" applyAlignment="1">
      <alignment horizontal="left" vertical="center"/>
    </xf>
    <xf numFmtId="0" fontId="41" fillId="0" borderId="109" xfId="46" applyFont="1" applyBorder="1" applyAlignment="1">
      <alignment horizontal="left" vertical="center" indent="1"/>
    </xf>
    <xf numFmtId="0" fontId="41" fillId="0" borderId="110" xfId="46" applyFont="1" applyBorder="1"/>
    <xf numFmtId="0" fontId="41" fillId="0" borderId="66" xfId="46" applyFont="1" applyBorder="1" applyAlignment="1">
      <alignment horizontal="left" vertical="center" indent="1"/>
    </xf>
    <xf numFmtId="0" fontId="41" fillId="0" borderId="111" xfId="46" applyFont="1" applyBorder="1" applyAlignment="1">
      <alignment horizontal="left" vertical="center" indent="1"/>
    </xf>
    <xf numFmtId="172" fontId="41" fillId="0" borderId="51" xfId="46" quotePrefix="1" applyNumberFormat="1" applyFont="1" applyBorder="1" applyAlignment="1">
      <alignment horizontal="left" vertical="center" indent="1"/>
    </xf>
    <xf numFmtId="0" fontId="41" fillId="0" borderId="62" xfId="46" applyFont="1" applyBorder="1" applyAlignment="1">
      <alignment horizontal="left" vertical="center"/>
    </xf>
    <xf numFmtId="43" fontId="41" fillId="22" borderId="51" xfId="28" applyFont="1" applyFill="1" applyBorder="1" applyAlignment="1">
      <alignment vertical="center"/>
    </xf>
    <xf numFmtId="43" fontId="41" fillId="22" borderId="78" xfId="28" applyFont="1" applyFill="1" applyBorder="1" applyAlignment="1">
      <alignment vertical="center" wrapText="1"/>
    </xf>
    <xf numFmtId="43" fontId="41" fillId="22" borderId="66" xfId="28" applyFont="1" applyFill="1" applyBorder="1" applyAlignment="1">
      <alignment horizontal="left" vertical="center"/>
    </xf>
    <xf numFmtId="0" fontId="41" fillId="0" borderId="61" xfId="46" applyFont="1" applyBorder="1" applyAlignment="1">
      <alignment horizontal="left" vertical="center"/>
    </xf>
    <xf numFmtId="172" fontId="41" fillId="0" borderId="61" xfId="46" applyNumberFormat="1" applyFont="1" applyBorder="1" applyAlignment="1">
      <alignment horizontal="left" vertical="center" indent="1"/>
    </xf>
    <xf numFmtId="0" fontId="41" fillId="0" borderId="61" xfId="46" applyFont="1" applyBorder="1" applyAlignment="1">
      <alignment horizontal="left" vertical="center" indent="1"/>
    </xf>
    <xf numFmtId="49" fontId="41" fillId="0" borderId="15" xfId="0" applyNumberFormat="1" applyFont="1" applyBorder="1" applyAlignment="1" applyProtection="1">
      <alignment horizontal="center" vertical="center"/>
      <protection locked="0"/>
    </xf>
    <xf numFmtId="0" fontId="41" fillId="0" borderId="18" xfId="0" applyFont="1" applyBorder="1" applyAlignment="1" applyProtection="1">
      <alignment horizontal="center" vertical="center"/>
      <protection hidden="1"/>
    </xf>
    <xf numFmtId="0" fontId="41" fillId="0" borderId="0" xfId="0" applyFont="1" applyAlignment="1" applyProtection="1">
      <alignment horizontal="center" vertical="center"/>
      <protection hidden="1"/>
    </xf>
    <xf numFmtId="0" fontId="31" fillId="0" borderId="0" xfId="0" applyFont="1" applyAlignment="1">
      <alignment horizontal="left" vertical="center" indent="1"/>
    </xf>
    <xf numFmtId="0" fontId="41" fillId="0" borderId="0" xfId="0" applyFont="1" applyAlignment="1">
      <alignment horizontal="center" vertical="center"/>
    </xf>
    <xf numFmtId="43" fontId="34" fillId="23" borderId="15" xfId="28" applyFont="1" applyFill="1" applyBorder="1" applyAlignment="1" applyProtection="1">
      <alignment horizontal="left" vertical="center"/>
      <protection locked="0"/>
    </xf>
    <xf numFmtId="168" fontId="36" fillId="0" borderId="0" xfId="0" applyNumberFormat="1" applyFont="1" applyAlignment="1">
      <alignment horizontal="center"/>
    </xf>
    <xf numFmtId="43" fontId="31" fillId="0" borderId="22" xfId="28" applyFont="1" applyFill="1" applyBorder="1" applyAlignment="1" applyProtection="1">
      <alignment horizontal="left" vertical="center"/>
      <protection hidden="1"/>
    </xf>
    <xf numFmtId="15" fontId="41" fillId="0" borderId="15" xfId="37" applyNumberFormat="1" applyFont="1" applyFill="1" applyBorder="1" applyAlignment="1" applyProtection="1">
      <alignment horizontal="left" vertical="center" indent="1"/>
      <protection locked="0"/>
    </xf>
    <xf numFmtId="39" fontId="31" fillId="0" borderId="15" xfId="28" applyNumberFormat="1" applyFont="1" applyFill="1" applyBorder="1" applyAlignment="1" applyProtection="1">
      <alignment horizontal="left" vertical="center" indent="1"/>
      <protection hidden="1"/>
    </xf>
    <xf numFmtId="0" fontId="31" fillId="0" borderId="15" xfId="0" applyFont="1" applyBorder="1" applyAlignment="1" applyProtection="1">
      <alignment horizontal="left" vertical="center" indent="1"/>
      <protection locked="0"/>
    </xf>
    <xf numFmtId="0" fontId="41" fillId="0" borderId="64" xfId="46" applyFont="1" applyBorder="1" applyAlignment="1">
      <alignment horizontal="left" vertical="center" wrapText="1"/>
    </xf>
    <xf numFmtId="0" fontId="41" fillId="0" borderId="20" xfId="46" applyFont="1" applyBorder="1" applyAlignment="1">
      <alignment vertical="center"/>
    </xf>
    <xf numFmtId="173" fontId="41" fillId="0" borderId="78" xfId="46" applyNumberFormat="1" applyFont="1" applyBorder="1" applyAlignment="1">
      <alignment vertical="center"/>
    </xf>
    <xf numFmtId="0" fontId="41" fillId="0" borderId="51" xfId="46" applyFont="1" applyBorder="1" applyAlignment="1">
      <alignment vertical="center" wrapText="1"/>
    </xf>
    <xf numFmtId="43" fontId="41" fillId="24" borderId="0" xfId="28" applyFont="1" applyFill="1" applyBorder="1" applyAlignment="1">
      <alignment vertical="center" wrapText="1"/>
    </xf>
    <xf numFmtId="0" fontId="41" fillId="24" borderId="78" xfId="46" applyFont="1" applyFill="1" applyBorder="1" applyAlignment="1">
      <alignment horizontal="left" vertical="center"/>
    </xf>
    <xf numFmtId="174" fontId="41" fillId="24" borderId="14" xfId="46" applyNumberFormat="1" applyFont="1" applyFill="1" applyBorder="1" applyAlignment="1">
      <alignment vertical="center"/>
    </xf>
    <xf numFmtId="43" fontId="41" fillId="24" borderId="25" xfId="28" applyFont="1" applyFill="1" applyBorder="1" applyAlignment="1">
      <alignment vertical="center" wrapText="1"/>
    </xf>
    <xf numFmtId="0" fontId="41" fillId="24" borderId="25" xfId="46" applyFont="1" applyFill="1" applyBorder="1" applyAlignment="1">
      <alignment horizontal="left" vertical="center"/>
    </xf>
    <xf numFmtId="0" fontId="41" fillId="24" borderId="48" xfId="46" applyFont="1" applyFill="1" applyBorder="1" applyAlignment="1">
      <alignment vertical="center" wrapText="1"/>
    </xf>
    <xf numFmtId="0" fontId="41" fillId="24" borderId="51" xfId="46" applyFont="1" applyFill="1" applyBorder="1" applyAlignment="1">
      <alignment horizontal="left" vertical="center"/>
    </xf>
    <xf numFmtId="0" fontId="41" fillId="24" borderId="51" xfId="46" applyFont="1" applyFill="1" applyBorder="1" applyAlignment="1">
      <alignment horizontal="left" vertical="center" indent="1"/>
    </xf>
    <xf numFmtId="43" fontId="41" fillId="24" borderId="51" xfId="28" applyFont="1" applyFill="1" applyBorder="1" applyAlignment="1">
      <alignment vertical="center"/>
    </xf>
    <xf numFmtId="0" fontId="41" fillId="24" borderId="0" xfId="46" applyFont="1" applyFill="1" applyAlignment="1">
      <alignment horizontal="left" vertical="center" wrapText="1" indent="1"/>
    </xf>
    <xf numFmtId="43" fontId="41" fillId="0" borderId="0" xfId="46" applyNumberFormat="1" applyFont="1" applyAlignment="1">
      <alignment horizontal="left" wrapText="1"/>
    </xf>
    <xf numFmtId="0" fontId="41" fillId="23" borderId="51" xfId="46" applyFont="1" applyFill="1" applyBorder="1" applyAlignment="1">
      <alignment horizontal="left" vertical="center"/>
    </xf>
    <xf numFmtId="0" fontId="41" fillId="23" borderId="51" xfId="46" applyFont="1" applyFill="1" applyBorder="1" applyAlignment="1">
      <alignment horizontal="left" vertical="center" indent="1"/>
    </xf>
    <xf numFmtId="43" fontId="41" fillId="23" borderId="78" xfId="28" applyFont="1" applyFill="1" applyBorder="1" applyAlignment="1">
      <alignment vertical="center"/>
    </xf>
    <xf numFmtId="43" fontId="41" fillId="23" borderId="51" xfId="28" applyFont="1" applyFill="1" applyBorder="1" applyAlignment="1">
      <alignment vertical="center"/>
    </xf>
    <xf numFmtId="0" fontId="41" fillId="23" borderId="0" xfId="46" applyFont="1" applyFill="1" applyAlignment="1">
      <alignment horizontal="left" vertical="center" wrapText="1" indent="1"/>
    </xf>
    <xf numFmtId="0" fontId="62" fillId="0" borderId="50" xfId="46" applyFont="1" applyBorder="1" applyAlignment="1">
      <alignment horizontal="left" vertical="center"/>
    </xf>
    <xf numFmtId="0" fontId="62" fillId="0" borderId="51" xfId="46" applyFont="1" applyBorder="1" applyAlignment="1">
      <alignment horizontal="left" vertical="center"/>
    </xf>
    <xf numFmtId="0" fontId="62" fillId="0" borderId="51" xfId="46" applyFont="1" applyBorder="1"/>
    <xf numFmtId="0" fontId="62" fillId="0" borderId="51" xfId="46" applyFont="1" applyBorder="1" applyAlignment="1">
      <alignment horizontal="left" vertical="center" indent="1"/>
    </xf>
    <xf numFmtId="43" fontId="62" fillId="21" borderId="51" xfId="28" applyFont="1" applyFill="1" applyBorder="1" applyAlignment="1">
      <alignment vertical="center"/>
    </xf>
    <xf numFmtId="43" fontId="62" fillId="0" borderId="51" xfId="28" applyFont="1" applyFill="1" applyBorder="1" applyAlignment="1">
      <alignment vertical="center"/>
    </xf>
    <xf numFmtId="0" fontId="62" fillId="0" borderId="63" xfId="46" applyFont="1" applyBorder="1" applyAlignment="1">
      <alignment horizontal="left" vertical="center" wrapText="1"/>
    </xf>
    <xf numFmtId="0" fontId="62" fillId="0" borderId="57" xfId="46" applyFont="1" applyBorder="1" applyAlignment="1">
      <alignment horizontal="left" vertical="center"/>
    </xf>
    <xf numFmtId="0" fontId="62" fillId="0" borderId="58" xfId="46" applyFont="1" applyBorder="1" applyAlignment="1">
      <alignment horizontal="left" vertical="center"/>
    </xf>
    <xf numFmtId="0" fontId="62" fillId="0" borderId="58" xfId="46" applyFont="1" applyBorder="1" applyAlignment="1">
      <alignment horizontal="left" vertical="center" indent="1"/>
    </xf>
    <xf numFmtId="43" fontId="62" fillId="21" borderId="58" xfId="28" applyFont="1" applyFill="1" applyBorder="1" applyAlignment="1">
      <alignment vertical="center"/>
    </xf>
    <xf numFmtId="43" fontId="62" fillId="0" borderId="58" xfId="28" applyFont="1" applyFill="1" applyBorder="1" applyAlignment="1">
      <alignment vertical="center"/>
    </xf>
    <xf numFmtId="0" fontId="62" fillId="0" borderId="60" xfId="46" applyFont="1" applyBorder="1" applyAlignment="1">
      <alignment horizontal="left" vertical="center" wrapText="1"/>
    </xf>
    <xf numFmtId="0" fontId="41" fillId="0" borderId="118" xfId="46" applyFont="1" applyBorder="1" applyAlignment="1">
      <alignment horizontal="left" vertical="center" indent="1"/>
    </xf>
    <xf numFmtId="0" fontId="41" fillId="0" borderId="119" xfId="46" applyFont="1" applyBorder="1" applyAlignment="1">
      <alignment horizontal="left" vertical="center"/>
    </xf>
    <xf numFmtId="0" fontId="41" fillId="0" borderId="120" xfId="46" applyFont="1" applyBorder="1" applyAlignment="1">
      <alignment horizontal="left" vertical="center"/>
    </xf>
    <xf numFmtId="172" fontId="41" fillId="0" borderId="120" xfId="46" applyNumberFormat="1" applyFont="1" applyBorder="1" applyAlignment="1">
      <alignment horizontal="left" vertical="center" indent="1"/>
    </xf>
    <xf numFmtId="0" fontId="41" fillId="0" borderId="120" xfId="46" applyFont="1" applyBorder="1" applyAlignment="1">
      <alignment horizontal="left" vertical="center" indent="1"/>
    </xf>
    <xf numFmtId="43" fontId="41" fillId="0" borderId="120" xfId="28" applyFont="1" applyFill="1" applyBorder="1" applyAlignment="1">
      <alignment horizontal="left" vertical="center"/>
    </xf>
    <xf numFmtId="43" fontId="41" fillId="22" borderId="120" xfId="28" applyFont="1" applyFill="1" applyBorder="1" applyAlignment="1">
      <alignment horizontal="left" vertical="center"/>
    </xf>
    <xf numFmtId="0" fontId="41" fillId="24" borderId="122" xfId="46" applyFont="1" applyFill="1" applyBorder="1" applyAlignment="1">
      <alignment vertical="center"/>
    </xf>
    <xf numFmtId="0" fontId="41" fillId="24" borderId="121" xfId="46" applyFont="1" applyFill="1" applyBorder="1"/>
    <xf numFmtId="0" fontId="41" fillId="0" borderId="122" xfId="46" applyFont="1" applyBorder="1" applyAlignment="1">
      <alignment vertical="center"/>
    </xf>
    <xf numFmtId="43" fontId="41" fillId="24" borderId="122" xfId="28" applyFont="1" applyFill="1" applyBorder="1" applyAlignment="1">
      <alignment vertical="center" wrapText="1"/>
    </xf>
    <xf numFmtId="0" fontId="41" fillId="26" borderId="61" xfId="46" applyFont="1" applyFill="1" applyBorder="1" applyAlignment="1">
      <alignment horizontal="left" vertical="center"/>
    </xf>
    <xf numFmtId="172" fontId="41" fillId="26" borderId="61" xfId="46" applyNumberFormat="1" applyFont="1" applyFill="1" applyBorder="1" applyAlignment="1">
      <alignment horizontal="left" vertical="center" indent="1"/>
    </xf>
    <xf numFmtId="0" fontId="41" fillId="26" borderId="61" xfId="46" applyFont="1" applyFill="1" applyBorder="1" applyAlignment="1">
      <alignment horizontal="left" vertical="center" indent="1"/>
    </xf>
    <xf numFmtId="173" fontId="59" fillId="0" borderId="51" xfId="46" applyNumberFormat="1" applyFont="1" applyBorder="1" applyAlignment="1">
      <alignment vertical="center"/>
    </xf>
    <xf numFmtId="2" fontId="41" fillId="0" borderId="51" xfId="46" applyNumberFormat="1" applyFont="1" applyBorder="1" applyAlignment="1">
      <alignment vertical="center"/>
    </xf>
    <xf numFmtId="173" fontId="41" fillId="0" borderId="14" xfId="46" applyNumberFormat="1" applyFont="1" applyBorder="1" applyAlignment="1">
      <alignment vertical="center"/>
    </xf>
    <xf numFmtId="173" fontId="41" fillId="0" borderId="71" xfId="46" applyNumberFormat="1" applyFont="1" applyBorder="1" applyAlignment="1">
      <alignment vertical="center"/>
    </xf>
    <xf numFmtId="175" fontId="59" fillId="0" borderId="71" xfId="46" applyNumberFormat="1" applyFont="1" applyBorder="1" applyAlignment="1">
      <alignment vertical="center" wrapText="1"/>
    </xf>
    <xf numFmtId="0" fontId="41" fillId="0" borderId="11" xfId="46" applyFont="1" applyBorder="1" applyAlignment="1">
      <alignment horizontal="left" vertical="center"/>
    </xf>
    <xf numFmtId="0" fontId="41" fillId="0" borderId="71" xfId="46" applyFont="1" applyBorder="1" applyAlignment="1">
      <alignment horizontal="left" vertical="center"/>
    </xf>
    <xf numFmtId="0" fontId="41" fillId="0" borderId="12" xfId="46" applyFont="1" applyBorder="1" applyAlignment="1">
      <alignment vertical="center"/>
    </xf>
    <xf numFmtId="173" fontId="59" fillId="0" borderId="78" xfId="46" applyNumberFormat="1" applyFont="1" applyBorder="1" applyAlignment="1">
      <alignment vertical="center"/>
    </xf>
    <xf numFmtId="0" fontId="58" fillId="0" borderId="51" xfId="46" applyFont="1" applyBorder="1" applyAlignment="1">
      <alignment vertical="center"/>
    </xf>
    <xf numFmtId="165" fontId="31" fillId="0" borderId="24" xfId="50" applyNumberFormat="1" applyFont="1" applyBorder="1" applyAlignment="1">
      <alignment vertical="center"/>
    </xf>
    <xf numFmtId="0" fontId="31" fillId="0" borderId="0" xfId="46" applyFont="1"/>
    <xf numFmtId="0" fontId="31" fillId="0" borderId="0" xfId="46" applyFont="1" applyAlignment="1">
      <alignment horizontal="right" indent="1"/>
    </xf>
    <xf numFmtId="43" fontId="31" fillId="0" borderId="0" xfId="46" applyNumberFormat="1" applyFont="1"/>
    <xf numFmtId="2" fontId="31" fillId="0" borderId="0" xfId="46" applyNumberFormat="1" applyFont="1"/>
    <xf numFmtId="166" fontId="31" fillId="0" borderId="0" xfId="46" applyNumberFormat="1" applyFont="1"/>
    <xf numFmtId="166" fontId="31" fillId="0" borderId="0" xfId="46" applyNumberFormat="1" applyFont="1" applyAlignment="1">
      <alignment horizontal="right" indent="1"/>
    </xf>
    <xf numFmtId="43" fontId="6" fillId="0" borderId="0" xfId="50" applyFont="1" applyAlignment="1">
      <alignment vertical="center"/>
    </xf>
    <xf numFmtId="166" fontId="31" fillId="0" borderId="82" xfId="46" applyNumberFormat="1" applyFont="1" applyBorder="1"/>
    <xf numFmtId="166" fontId="31" fillId="0" borderId="81" xfId="46" applyNumberFormat="1" applyFont="1" applyBorder="1"/>
    <xf numFmtId="0" fontId="31" fillId="0" borderId="81" xfId="46" applyFont="1" applyBorder="1"/>
    <xf numFmtId="0" fontId="31" fillId="0" borderId="29" xfId="46" applyFont="1" applyBorder="1" applyAlignment="1">
      <alignment horizontal="left" vertical="center" wrapText="1"/>
    </xf>
    <xf numFmtId="1" fontId="31" fillId="0" borderId="0" xfId="46" applyNumberFormat="1" applyFont="1"/>
    <xf numFmtId="0" fontId="31" fillId="0" borderId="24" xfId="46" applyFont="1" applyBorder="1"/>
    <xf numFmtId="166" fontId="33" fillId="0" borderId="0" xfId="46" applyNumberFormat="1" applyFont="1" applyAlignment="1">
      <alignment horizontal="right" indent="1"/>
    </xf>
    <xf numFmtId="0" fontId="31" fillId="0" borderId="34" xfId="46" applyFont="1" applyBorder="1"/>
    <xf numFmtId="0" fontId="31" fillId="0" borderId="0" xfId="46" applyFont="1" applyAlignment="1">
      <alignment horizontal="center" vertical="center" wrapText="1"/>
    </xf>
    <xf numFmtId="166" fontId="32" fillId="0" borderId="16" xfId="50" applyNumberFormat="1" applyFont="1" applyBorder="1" applyAlignment="1">
      <alignment vertical="center"/>
    </xf>
    <xf numFmtId="0" fontId="31" fillId="0" borderId="0" xfId="46" applyFont="1" applyAlignment="1">
      <alignment vertical="center"/>
    </xf>
    <xf numFmtId="0" fontId="31" fillId="0" borderId="30" xfId="46" applyFont="1" applyBorder="1"/>
    <xf numFmtId="166" fontId="33" fillId="0" borderId="30" xfId="46" applyNumberFormat="1" applyFont="1" applyBorder="1" applyAlignment="1">
      <alignment horizontal="right" indent="1"/>
    </xf>
    <xf numFmtId="0" fontId="31" fillId="0" borderId="31" xfId="46" applyFont="1" applyBorder="1"/>
    <xf numFmtId="1" fontId="31" fillId="23" borderId="125" xfId="46" applyNumberFormat="1" applyFont="1" applyFill="1" applyBorder="1" applyAlignment="1">
      <alignment vertical="center"/>
    </xf>
    <xf numFmtId="10" fontId="31" fillId="23" borderId="125" xfId="46" applyNumberFormat="1" applyFont="1" applyFill="1" applyBorder="1" applyAlignment="1">
      <alignment vertical="center"/>
    </xf>
    <xf numFmtId="0" fontId="31" fillId="23" borderId="21" xfId="46" applyFont="1" applyFill="1" applyBorder="1" applyAlignment="1">
      <alignment horizontal="left" vertical="center" indent="1"/>
    </xf>
    <xf numFmtId="0" fontId="31" fillId="23" borderId="98" xfId="46" applyFont="1" applyFill="1" applyBorder="1" applyAlignment="1">
      <alignment vertical="center" wrapText="1"/>
    </xf>
    <xf numFmtId="0" fontId="31" fillId="0" borderId="34" xfId="46" applyFont="1" applyBorder="1" applyAlignment="1">
      <alignment vertical="center" wrapText="1"/>
    </xf>
    <xf numFmtId="0" fontId="31" fillId="0" borderId="21" xfId="46" applyFont="1" applyBorder="1" applyAlignment="1">
      <alignment horizontal="left" vertical="center" indent="1"/>
    </xf>
    <xf numFmtId="0" fontId="31" fillId="0" borderId="98" xfId="46" applyFont="1" applyBorder="1" applyAlignment="1">
      <alignment vertical="center" wrapText="1"/>
    </xf>
    <xf numFmtId="1" fontId="31" fillId="23" borderId="104" xfId="46" applyNumberFormat="1" applyFont="1" applyFill="1" applyBorder="1" applyAlignment="1">
      <alignment vertical="center"/>
    </xf>
    <xf numFmtId="10" fontId="31" fillId="23" borderId="104" xfId="46" applyNumberFormat="1" applyFont="1" applyFill="1" applyBorder="1" applyAlignment="1">
      <alignment vertical="center"/>
    </xf>
    <xf numFmtId="1" fontId="31" fillId="0" borderId="104" xfId="46" applyNumberFormat="1" applyFont="1" applyBorder="1" applyAlignment="1">
      <alignment vertical="center"/>
    </xf>
    <xf numFmtId="10" fontId="31" fillId="0" borderId="104" xfId="46" applyNumberFormat="1" applyFont="1" applyBorder="1" applyAlignment="1">
      <alignment vertical="center"/>
    </xf>
    <xf numFmtId="0" fontId="31" fillId="0" borderId="99" xfId="46" applyFont="1" applyBorder="1" applyAlignment="1">
      <alignment vertical="center" wrapText="1"/>
    </xf>
    <xf numFmtId="1" fontId="31" fillId="23" borderId="106" xfId="46" applyNumberFormat="1" applyFont="1" applyFill="1" applyBorder="1" applyAlignment="1">
      <alignment horizontal="right" vertical="center" indent="1"/>
    </xf>
    <xf numFmtId="0" fontId="31" fillId="0" borderId="106" xfId="46" applyFont="1" applyBorder="1" applyAlignment="1">
      <alignment horizontal="center" vertical="center" wrapText="1"/>
    </xf>
    <xf numFmtId="0" fontId="31" fillId="0" borderId="105" xfId="46" applyFont="1" applyBorder="1" applyAlignment="1">
      <alignment horizontal="center" vertical="center"/>
    </xf>
    <xf numFmtId="0" fontId="31" fillId="0" borderId="105" xfId="46" quotePrefix="1" applyFont="1" applyBorder="1" applyAlignment="1">
      <alignment horizontal="center" vertical="center"/>
    </xf>
    <xf numFmtId="0" fontId="31" fillId="0" borderId="107" xfId="46" quotePrefix="1" applyFont="1" applyBorder="1" applyAlignment="1">
      <alignment horizontal="center" vertical="center"/>
    </xf>
    <xf numFmtId="0" fontId="31" fillId="0" borderId="82" xfId="46" applyFont="1" applyBorder="1" applyAlignment="1">
      <alignment vertical="center" wrapText="1"/>
    </xf>
    <xf numFmtId="176" fontId="31" fillId="0" borderId="24" xfId="46" applyNumberFormat="1" applyFont="1" applyBorder="1" applyAlignment="1">
      <alignment horizontal="center" vertical="center"/>
    </xf>
    <xf numFmtId="166" fontId="31" fillId="0" borderId="24" xfId="46" applyNumberFormat="1" applyFont="1" applyBorder="1" applyAlignment="1">
      <alignment horizontal="center" vertical="center"/>
    </xf>
    <xf numFmtId="0" fontId="31" fillId="0" borderId="29" xfId="46" applyFont="1" applyBorder="1" applyAlignment="1">
      <alignment horizontal="center" vertical="center"/>
    </xf>
    <xf numFmtId="0" fontId="31" fillId="0" borderId="79" xfId="46" applyFont="1" applyBorder="1" applyAlignment="1">
      <alignment horizontal="center" vertical="center" wrapText="1"/>
    </xf>
    <xf numFmtId="0" fontId="31" fillId="0" borderId="24" xfId="46" applyFont="1" applyBorder="1" applyAlignment="1">
      <alignment horizontal="center" vertical="center" wrapText="1"/>
    </xf>
    <xf numFmtId="0" fontId="31" fillId="0" borderId="24" xfId="46" applyFont="1" applyBorder="1" applyAlignment="1">
      <alignment horizontal="center" vertical="center"/>
    </xf>
    <xf numFmtId="0" fontId="31" fillId="0" borderId="24" xfId="46" quotePrefix="1" applyFont="1" applyBorder="1" applyAlignment="1">
      <alignment horizontal="center" vertical="center"/>
    </xf>
    <xf numFmtId="0" fontId="31" fillId="0" borderId="34" xfId="46" applyFont="1" applyBorder="1" applyAlignment="1">
      <alignment horizontal="center" vertical="center"/>
    </xf>
    <xf numFmtId="0" fontId="31" fillId="0" borderId="33" xfId="46" applyFont="1" applyBorder="1" applyAlignment="1">
      <alignment horizontal="center" vertical="center" wrapText="1"/>
    </xf>
    <xf numFmtId="166" fontId="31" fillId="0" borderId="82" xfId="50" applyNumberFormat="1" applyFont="1" applyBorder="1" applyAlignment="1">
      <alignment horizontal="right" vertical="center"/>
    </xf>
    <xf numFmtId="166" fontId="60" fillId="26" borderId="93" xfId="50" applyNumberFormat="1" applyFont="1" applyFill="1" applyBorder="1" applyAlignment="1">
      <alignment vertical="center"/>
    </xf>
    <xf numFmtId="179" fontId="60" fillId="26" borderId="91" xfId="46" applyNumberFormat="1" applyFont="1" applyFill="1" applyBorder="1" applyAlignment="1">
      <alignment vertical="center"/>
    </xf>
    <xf numFmtId="0" fontId="31" fillId="0" borderId="29" xfId="46" applyFont="1" applyBorder="1"/>
    <xf numFmtId="0" fontId="31" fillId="0" borderId="81" xfId="46" applyFont="1" applyBorder="1" applyAlignment="1">
      <alignment vertical="center" wrapText="1"/>
    </xf>
    <xf numFmtId="166" fontId="31" fillId="0" borderId="81" xfId="46" applyNumberFormat="1" applyFont="1" applyBorder="1" applyAlignment="1">
      <alignment horizontal="right" vertical="center" wrapText="1" indent="1"/>
    </xf>
    <xf numFmtId="0" fontId="31" fillId="0" borderId="80" xfId="46" applyFont="1" applyBorder="1" applyAlignment="1">
      <alignment horizontal="center" vertical="center" wrapText="1"/>
    </xf>
    <xf numFmtId="0" fontId="31" fillId="0" borderId="16" xfId="46" applyFont="1" applyBorder="1"/>
    <xf numFmtId="171" fontId="31" fillId="0" borderId="0" xfId="46" applyNumberFormat="1" applyFont="1"/>
    <xf numFmtId="166" fontId="60" fillId="26" borderId="79" xfId="50" applyNumberFormat="1" applyFont="1" applyFill="1" applyBorder="1" applyAlignment="1">
      <alignment horizontal="right" vertical="center"/>
    </xf>
    <xf numFmtId="49" fontId="31" fillId="0" borderId="15" xfId="46" applyNumberFormat="1" applyFont="1" applyBorder="1" applyAlignment="1">
      <alignment horizontal="left" vertical="center" indent="1"/>
    </xf>
    <xf numFmtId="0" fontId="31" fillId="0" borderId="0" xfId="46" applyFont="1" applyAlignment="1">
      <alignment vertical="center" wrapText="1"/>
    </xf>
    <xf numFmtId="176" fontId="31" fillId="0" borderId="24" xfId="46" applyNumberFormat="1" applyFont="1" applyBorder="1" applyAlignment="1">
      <alignment vertical="center" wrapText="1"/>
    </xf>
    <xf numFmtId="176" fontId="31" fillId="0" borderId="34" xfId="46" applyNumberFormat="1" applyFont="1" applyBorder="1" applyAlignment="1">
      <alignment vertical="center" wrapText="1"/>
    </xf>
    <xf numFmtId="43" fontId="31" fillId="0" borderId="116" xfId="50" applyFont="1" applyFill="1" applyBorder="1" applyAlignment="1">
      <alignment vertical="center"/>
    </xf>
    <xf numFmtId="43" fontId="31" fillId="0" borderId="24" xfId="50" applyFont="1" applyFill="1" applyBorder="1" applyAlignment="1">
      <alignment vertical="center"/>
    </xf>
    <xf numFmtId="49" fontId="31" fillId="0" borderId="113" xfId="46" applyNumberFormat="1" applyFont="1" applyBorder="1" applyAlignment="1">
      <alignment horizontal="left" vertical="center" indent="1"/>
    </xf>
    <xf numFmtId="0" fontId="31" fillId="0" borderId="112" xfId="46" applyFont="1" applyBorder="1" applyAlignment="1">
      <alignment vertical="center" wrapText="1"/>
    </xf>
    <xf numFmtId="43" fontId="31" fillId="25" borderId="98" xfId="50" applyFont="1" applyFill="1" applyBorder="1" applyAlignment="1">
      <alignment vertical="center"/>
    </xf>
    <xf numFmtId="43" fontId="31" fillId="25" borderId="0" xfId="50" applyFont="1" applyFill="1" applyBorder="1" applyAlignment="1">
      <alignment vertical="center"/>
    </xf>
    <xf numFmtId="2" fontId="31" fillId="25" borderId="93" xfId="46" applyNumberFormat="1" applyFont="1" applyFill="1" applyBorder="1" applyAlignment="1">
      <alignment vertical="center"/>
    </xf>
    <xf numFmtId="2" fontId="31" fillId="25" borderId="91" xfId="46" applyNumberFormat="1" applyFont="1" applyFill="1" applyBorder="1" applyAlignment="1">
      <alignment vertical="center"/>
    </xf>
    <xf numFmtId="49" fontId="31" fillId="25" borderId="96" xfId="46" applyNumberFormat="1" applyFont="1" applyFill="1" applyBorder="1" applyAlignment="1">
      <alignment horizontal="left" vertical="center" indent="1"/>
    </xf>
    <xf numFmtId="0" fontId="31" fillId="25" borderId="99" xfId="46" applyFont="1" applyFill="1" applyBorder="1" applyAlignment="1">
      <alignment vertical="center" wrapText="1"/>
    </xf>
    <xf numFmtId="43" fontId="31" fillId="0" borderId="98" xfId="50" applyFont="1" applyFill="1" applyBorder="1" applyAlignment="1">
      <alignment vertical="center"/>
    </xf>
    <xf numFmtId="43" fontId="31" fillId="0" borderId="0" xfId="50" applyFont="1" applyFill="1" applyBorder="1" applyAlignment="1">
      <alignment vertical="center"/>
    </xf>
    <xf numFmtId="2" fontId="31" fillId="0" borderId="92" xfId="46" applyNumberFormat="1" applyFont="1" applyBorder="1" applyAlignment="1">
      <alignment vertical="center"/>
    </xf>
    <xf numFmtId="2" fontId="31" fillId="0" borderId="90" xfId="46" applyNumberFormat="1" applyFont="1" applyBorder="1" applyAlignment="1">
      <alignment vertical="center"/>
    </xf>
    <xf numFmtId="49" fontId="31" fillId="0" borderId="96" xfId="46" applyNumberFormat="1" applyFont="1" applyBorder="1" applyAlignment="1">
      <alignment horizontal="left" vertical="center" indent="1"/>
    </xf>
    <xf numFmtId="179" fontId="31" fillId="25" borderId="91" xfId="46" applyNumberFormat="1" applyFont="1" applyFill="1" applyBorder="1" applyAlignment="1">
      <alignment vertical="center"/>
    </xf>
    <xf numFmtId="43" fontId="31" fillId="0" borderId="97" xfId="50" applyFont="1" applyFill="1" applyBorder="1" applyAlignment="1">
      <alignment vertical="center"/>
    </xf>
    <xf numFmtId="43" fontId="31" fillId="0" borderId="30" xfId="50" applyFont="1" applyFill="1" applyBorder="1" applyAlignment="1">
      <alignment vertical="center"/>
    </xf>
    <xf numFmtId="2" fontId="31" fillId="0" borderId="89" xfId="46" applyNumberFormat="1" applyFont="1" applyBorder="1" applyAlignment="1">
      <alignment vertical="center"/>
    </xf>
    <xf numFmtId="179" fontId="31" fillId="0" borderId="88" xfId="46" applyNumberFormat="1" applyFont="1" applyBorder="1" applyAlignment="1">
      <alignment vertical="center"/>
    </xf>
    <xf numFmtId="49" fontId="31" fillId="0" borderId="94" xfId="46" applyNumberFormat="1" applyFont="1" applyBorder="1" applyAlignment="1">
      <alignment horizontal="left" vertical="center" indent="1"/>
    </xf>
    <xf numFmtId="0" fontId="31" fillId="0" borderId="100" xfId="46" applyFont="1" applyBorder="1" applyAlignment="1">
      <alignment vertical="center" wrapText="1"/>
    </xf>
    <xf numFmtId="2" fontId="31" fillId="0" borderId="87" xfId="46" applyNumberFormat="1" applyFont="1" applyBorder="1" applyAlignment="1">
      <alignment vertical="center"/>
    </xf>
    <xf numFmtId="2" fontId="31" fillId="0" borderId="86" xfId="46" applyNumberFormat="1" applyFont="1" applyBorder="1" applyAlignment="1">
      <alignment vertical="center"/>
    </xf>
    <xf numFmtId="166" fontId="31" fillId="0" borderId="81" xfId="46" applyNumberFormat="1" applyFont="1" applyBorder="1" applyAlignment="1">
      <alignment horizontal="right" vertical="center" indent="1"/>
    </xf>
    <xf numFmtId="0" fontId="31" fillId="0" borderId="24" xfId="46" applyFont="1" applyBorder="1" applyAlignment="1">
      <alignment horizontal="left" indent="1"/>
    </xf>
    <xf numFmtId="0" fontId="31" fillId="0" borderId="24" xfId="46" applyFont="1" applyBorder="1" applyAlignment="1">
      <alignment horizontal="center"/>
    </xf>
    <xf numFmtId="0" fontId="31" fillId="0" borderId="30" xfId="46" applyFont="1" applyBorder="1" applyAlignment="1">
      <alignment horizontal="left" indent="1"/>
    </xf>
    <xf numFmtId="0" fontId="31" fillId="0" borderId="30" xfId="46" applyFont="1" applyBorder="1" applyAlignment="1">
      <alignment horizontal="center"/>
    </xf>
    <xf numFmtId="0" fontId="31" fillId="0" borderId="0" xfId="46" applyFont="1" applyAlignment="1">
      <alignment horizontal="left" indent="1"/>
    </xf>
    <xf numFmtId="0" fontId="31" fillId="0" borderId="0" xfId="46" applyFont="1" applyAlignment="1">
      <alignment horizontal="right" indent="2"/>
    </xf>
    <xf numFmtId="166" fontId="33" fillId="25" borderId="15" xfId="28" applyNumberFormat="1" applyFont="1" applyFill="1" applyBorder="1" applyAlignment="1" applyProtection="1">
      <alignment horizontal="left" vertical="center"/>
      <protection locked="0"/>
    </xf>
    <xf numFmtId="49" fontId="31" fillId="0" borderId="15" xfId="28" applyNumberFormat="1" applyFont="1" applyFill="1" applyBorder="1" applyAlignment="1" applyProtection="1">
      <alignment horizontal="left" vertical="center"/>
      <protection locked="0"/>
    </xf>
    <xf numFmtId="15" fontId="31" fillId="0" borderId="13" xfId="0" applyNumberFormat="1" applyFont="1" applyBorder="1" applyAlignment="1" applyProtection="1">
      <alignment vertical="center"/>
      <protection locked="0"/>
    </xf>
    <xf numFmtId="49" fontId="55" fillId="0" borderId="15" xfId="0" applyNumberFormat="1" applyFont="1" applyBorder="1" applyAlignment="1" applyProtection="1">
      <alignment horizontal="center" vertical="center"/>
      <protection locked="0"/>
    </xf>
    <xf numFmtId="0" fontId="44" fillId="0" borderId="16" xfId="0" applyFont="1" applyBorder="1" applyAlignment="1">
      <alignment horizontal="center" vertical="center" wrapText="1"/>
    </xf>
    <xf numFmtId="0" fontId="44" fillId="23" borderId="16" xfId="0" applyFont="1" applyFill="1" applyBorder="1" applyAlignment="1">
      <alignment horizontal="center" vertical="center" wrapText="1"/>
    </xf>
    <xf numFmtId="15" fontId="31" fillId="23" borderId="13" xfId="0" applyNumberFormat="1" applyFont="1" applyFill="1" applyBorder="1" applyAlignment="1" applyProtection="1">
      <alignment vertical="center"/>
      <protection locked="0"/>
    </xf>
    <xf numFmtId="49" fontId="55" fillId="23" borderId="15" xfId="0" applyNumberFormat="1" applyFont="1" applyFill="1" applyBorder="1" applyAlignment="1" applyProtection="1">
      <alignment horizontal="center" vertical="center"/>
      <protection locked="0"/>
    </xf>
    <xf numFmtId="43" fontId="31" fillId="23" borderId="15" xfId="28" applyFont="1" applyFill="1" applyBorder="1" applyAlignment="1" applyProtection="1">
      <alignment horizontal="left" vertical="center"/>
      <protection locked="0"/>
    </xf>
    <xf numFmtId="43" fontId="31" fillId="0" borderId="15" xfId="28" applyFont="1" applyFill="1" applyBorder="1" applyAlignment="1" applyProtection="1">
      <alignment vertical="center"/>
      <protection locked="0"/>
    </xf>
    <xf numFmtId="49" fontId="31" fillId="23" borderId="15" xfId="0" applyNumberFormat="1" applyFont="1" applyFill="1" applyBorder="1" applyAlignment="1" applyProtection="1">
      <alignment horizontal="left" vertical="center"/>
      <protection locked="0"/>
    </xf>
    <xf numFmtId="43" fontId="31" fillId="23" borderId="15" xfId="28" applyFont="1" applyFill="1" applyBorder="1" applyAlignment="1" applyProtection="1">
      <alignment vertical="center"/>
      <protection locked="0"/>
    </xf>
    <xf numFmtId="43" fontId="0" fillId="0" borderId="0" xfId="0" applyNumberFormat="1"/>
    <xf numFmtId="4" fontId="36" fillId="0" borderId="0" xfId="0" applyNumberFormat="1" applyFont="1"/>
    <xf numFmtId="181" fontId="41" fillId="23" borderId="51" xfId="46" applyNumberFormat="1" applyFont="1" applyFill="1" applyBorder="1" applyAlignment="1">
      <alignment vertical="center" wrapText="1"/>
    </xf>
    <xf numFmtId="0" fontId="58" fillId="24" borderId="51" xfId="46" applyFont="1" applyFill="1" applyBorder="1" applyAlignment="1">
      <alignment horizontal="right" vertical="center" wrapText="1"/>
    </xf>
    <xf numFmtId="0" fontId="45" fillId="0" borderId="0" xfId="0" applyFont="1" applyAlignment="1">
      <alignment vertical="center"/>
    </xf>
    <xf numFmtId="0" fontId="30" fillId="0" borderId="0" xfId="0" applyFont="1" applyAlignment="1">
      <alignment vertical="center"/>
    </xf>
    <xf numFmtId="43" fontId="30" fillId="0" borderId="0" xfId="0" applyNumberFormat="1" applyFont="1" applyAlignment="1">
      <alignment vertical="center"/>
    </xf>
    <xf numFmtId="43" fontId="30" fillId="0" borderId="0" xfId="47" applyFont="1" applyAlignment="1">
      <alignment vertical="center"/>
    </xf>
    <xf numFmtId="1" fontId="31" fillId="0" borderId="106" xfId="46" applyNumberFormat="1" applyFont="1" applyBorder="1" applyAlignment="1">
      <alignment horizontal="right" vertical="center" indent="1"/>
    </xf>
    <xf numFmtId="0" fontId="32" fillId="0" borderId="0" xfId="46" applyFont="1"/>
    <xf numFmtId="166" fontId="32" fillId="0" borderId="0" xfId="46" applyNumberFormat="1" applyFont="1"/>
    <xf numFmtId="43" fontId="32" fillId="0" borderId="0" xfId="46" applyNumberFormat="1" applyFont="1"/>
    <xf numFmtId="0" fontId="63" fillId="0" borderId="66" xfId="46" applyFont="1" applyBorder="1" applyAlignment="1">
      <alignment horizontal="left" vertical="center" wrapText="1" indent="1"/>
    </xf>
    <xf numFmtId="43" fontId="41" fillId="22" borderId="61" xfId="28" applyFont="1" applyFill="1" applyBorder="1" applyAlignment="1">
      <alignment horizontal="left" vertical="center"/>
    </xf>
    <xf numFmtId="0" fontId="64" fillId="0" borderId="0" xfId="0" applyFont="1"/>
    <xf numFmtId="0" fontId="64" fillId="0" borderId="0" xfId="0" quotePrefix="1" applyFont="1" applyAlignment="1">
      <alignment horizontal="left" vertical="center" wrapText="1"/>
    </xf>
    <xf numFmtId="0" fontId="64" fillId="0" borderId="0" xfId="0" applyFont="1" applyAlignment="1">
      <alignment vertical="center"/>
    </xf>
    <xf numFmtId="0" fontId="64" fillId="0" borderId="0" xfId="0" applyFont="1" applyAlignment="1">
      <alignment horizontal="right" vertical="center" indent="1"/>
    </xf>
    <xf numFmtId="0" fontId="43" fillId="0" borderId="0" xfId="37" applyAlignment="1" applyProtection="1">
      <alignment horizontal="left" vertical="center" indent="1"/>
    </xf>
    <xf numFmtId="0" fontId="41" fillId="0" borderId="0" xfId="37" quotePrefix="1" applyFont="1" applyAlignment="1" applyProtection="1">
      <alignment horizontal="left" vertical="center" wrapText="1"/>
    </xf>
    <xf numFmtId="0" fontId="61" fillId="0" borderId="83" xfId="0" applyFont="1" applyBorder="1" applyAlignment="1">
      <alignment horizontal="left" vertical="center" indent="1"/>
    </xf>
    <xf numFmtId="43" fontId="41" fillId="0" borderId="63" xfId="46" applyNumberFormat="1" applyFont="1" applyBorder="1" applyAlignment="1">
      <alignment horizontal="left" vertical="center"/>
    </xf>
    <xf numFmtId="43" fontId="41" fillId="21" borderId="51" xfId="28" applyFont="1" applyFill="1" applyBorder="1" applyAlignment="1">
      <alignment horizontal="center" vertical="center"/>
    </xf>
    <xf numFmtId="43" fontId="31" fillId="23" borderId="15" xfId="28" applyFont="1" applyFill="1" applyBorder="1" applyAlignment="1" applyProtection="1">
      <alignment horizontal="left" vertical="center"/>
      <protection hidden="1"/>
    </xf>
    <xf numFmtId="0" fontId="65" fillId="0" borderId="0" xfId="0" applyFont="1"/>
    <xf numFmtId="43" fontId="41" fillId="21" borderId="62" xfId="28" applyFont="1" applyFill="1" applyBorder="1" applyAlignment="1">
      <alignment horizontal="center" vertical="center"/>
    </xf>
    <xf numFmtId="0" fontId="66" fillId="0" borderId="0" xfId="54" applyFont="1" applyAlignment="1">
      <alignment horizontal="left" wrapText="1"/>
    </xf>
    <xf numFmtId="0" fontId="66" fillId="0" borderId="0" xfId="54" applyFont="1" applyAlignment="1">
      <alignment horizontal="left"/>
    </xf>
    <xf numFmtId="174" fontId="66" fillId="0" borderId="0" xfId="54" applyNumberFormat="1" applyFont="1" applyAlignment="1">
      <alignment horizontal="left" indent="3"/>
    </xf>
    <xf numFmtId="43" fontId="66" fillId="0" borderId="0" xfId="59" applyFont="1" applyAlignment="1"/>
    <xf numFmtId="0" fontId="66" fillId="0" borderId="0" xfId="54" applyFont="1"/>
    <xf numFmtId="174" fontId="66" fillId="0" borderId="0" xfId="59" applyNumberFormat="1" applyFont="1" applyAlignment="1">
      <alignment horizontal="left" indent="3"/>
    </xf>
    <xf numFmtId="0" fontId="68" fillId="0" borderId="0" xfId="54" applyFont="1" applyAlignment="1">
      <alignment horizontal="left" wrapText="1"/>
    </xf>
    <xf numFmtId="0" fontId="68" fillId="0" borderId="0" xfId="54" applyFont="1" applyAlignment="1">
      <alignment horizontal="left"/>
    </xf>
    <xf numFmtId="43" fontId="68" fillId="0" borderId="0" xfId="59" applyFont="1" applyAlignment="1"/>
    <xf numFmtId="0" fontId="68" fillId="0" borderId="0" xfId="54" applyFont="1"/>
    <xf numFmtId="0" fontId="69" fillId="0" borderId="0" xfId="54" applyFont="1" applyAlignment="1">
      <alignment horizontal="left"/>
    </xf>
    <xf numFmtId="0" fontId="69" fillId="0" borderId="0" xfId="54" applyFont="1" applyAlignment="1">
      <alignment horizontal="left" wrapText="1"/>
    </xf>
    <xf numFmtId="43" fontId="69" fillId="0" borderId="0" xfId="59" applyFont="1" applyAlignment="1"/>
    <xf numFmtId="0" fontId="69" fillId="0" borderId="0" xfId="54" applyFont="1"/>
    <xf numFmtId="0" fontId="67" fillId="0" borderId="0" xfId="54" applyFont="1" applyAlignment="1">
      <alignment horizontal="left"/>
    </xf>
    <xf numFmtId="174" fontId="67" fillId="0" borderId="0" xfId="54" applyNumberFormat="1" applyFont="1" applyAlignment="1">
      <alignment horizontal="left" indent="3"/>
    </xf>
    <xf numFmtId="0" fontId="67" fillId="0" borderId="0" xfId="54" applyFont="1"/>
    <xf numFmtId="174" fontId="66" fillId="0" borderId="0" xfId="59" applyNumberFormat="1" applyFont="1" applyAlignment="1"/>
    <xf numFmtId="0" fontId="41" fillId="0" borderId="15" xfId="37" applyFont="1" applyFill="1" applyBorder="1" applyAlignment="1" applyProtection="1">
      <alignment horizontal="left" vertical="center" indent="1"/>
      <protection locked="0"/>
    </xf>
    <xf numFmtId="43" fontId="31" fillId="0" borderId="15" xfId="28" applyFont="1" applyFill="1" applyBorder="1" applyAlignment="1" applyProtection="1">
      <alignment horizontal="left" vertical="center"/>
      <protection hidden="1"/>
    </xf>
    <xf numFmtId="0" fontId="43" fillId="0" borderId="16" xfId="37" quotePrefix="1" applyFill="1" applyBorder="1" applyAlignment="1" applyProtection="1">
      <alignment horizontal="left" vertical="center" indent="1"/>
      <protection locked="0"/>
    </xf>
    <xf numFmtId="15" fontId="43" fillId="23" borderId="15" xfId="37" applyNumberFormat="1" applyFill="1" applyBorder="1" applyAlignment="1" applyProtection="1">
      <alignment horizontal="left" vertical="center" indent="1"/>
      <protection locked="0"/>
    </xf>
    <xf numFmtId="0" fontId="43" fillId="23" borderId="16" xfId="37" applyFill="1" applyBorder="1" applyAlignment="1" applyProtection="1">
      <alignment horizontal="left" vertical="center" indent="1"/>
      <protection locked="0"/>
    </xf>
    <xf numFmtId="0" fontId="43" fillId="0" borderId="16" xfId="37" applyFill="1" applyBorder="1" applyAlignment="1" applyProtection="1">
      <alignment horizontal="left" vertical="center" indent="1"/>
      <protection locked="0"/>
    </xf>
    <xf numFmtId="0" fontId="43" fillId="23" borderId="16" xfId="37" quotePrefix="1" applyFill="1" applyBorder="1" applyAlignment="1" applyProtection="1">
      <alignment horizontal="left" vertical="center" indent="1"/>
      <protection locked="0"/>
    </xf>
    <xf numFmtId="0" fontId="43" fillId="0" borderId="0" xfId="37" quotePrefix="1" applyFill="1" applyBorder="1" applyAlignment="1" applyProtection="1">
      <alignment horizontal="left" vertical="center" indent="1"/>
      <protection locked="0"/>
    </xf>
    <xf numFmtId="43" fontId="43" fillId="23" borderId="15" xfId="37" applyNumberFormat="1" applyFill="1" applyBorder="1" applyAlignment="1" applyProtection="1">
      <alignment horizontal="left" vertical="center"/>
      <protection locked="0"/>
    </xf>
    <xf numFmtId="0" fontId="43" fillId="0" borderId="16" xfId="37" applyFill="1" applyBorder="1" applyAlignment="1">
      <alignment horizontal="left" vertical="center" indent="1"/>
      <protection locked="0"/>
    </xf>
    <xf numFmtId="43" fontId="66" fillId="0" borderId="0" xfId="54" applyNumberFormat="1" applyFont="1"/>
    <xf numFmtId="43" fontId="43" fillId="23" borderId="16" xfId="37" quotePrefix="1" applyNumberFormat="1" applyFill="1" applyBorder="1" applyAlignment="1" applyProtection="1">
      <alignment horizontal="left" vertical="center" indent="1"/>
      <protection locked="0"/>
    </xf>
    <xf numFmtId="0" fontId="43" fillId="23" borderId="15" xfId="37" quotePrefix="1" applyFill="1" applyBorder="1" applyAlignment="1" applyProtection="1">
      <alignment horizontal="left" vertical="center" indent="1"/>
      <protection locked="0"/>
    </xf>
    <xf numFmtId="165" fontId="66" fillId="0" borderId="0" xfId="59" applyNumberFormat="1" applyFont="1" applyAlignment="1"/>
    <xf numFmtId="177" fontId="31" fillId="0" borderId="15" xfId="28" applyNumberFormat="1" applyFont="1" applyFill="1" applyBorder="1" applyAlignment="1" applyProtection="1">
      <alignment vertical="center"/>
      <protection locked="0" hidden="1"/>
    </xf>
    <xf numFmtId="177" fontId="31" fillId="0" borderId="15" xfId="28" applyNumberFormat="1" applyFont="1" applyFill="1" applyBorder="1" applyAlignment="1" applyProtection="1">
      <alignment vertical="center"/>
      <protection hidden="1"/>
    </xf>
    <xf numFmtId="177" fontId="31" fillId="23" borderId="15" xfId="28" applyNumberFormat="1" applyFont="1" applyFill="1" applyBorder="1" applyAlignment="1" applyProtection="1">
      <alignment vertical="center"/>
      <protection locked="0"/>
    </xf>
    <xf numFmtId="177" fontId="31" fillId="23" borderId="15" xfId="28" applyNumberFormat="1" applyFont="1" applyFill="1" applyBorder="1" applyAlignment="1" applyProtection="1">
      <alignment vertical="center"/>
      <protection locked="0" hidden="1"/>
    </xf>
    <xf numFmtId="177" fontId="31" fillId="23" borderId="15" xfId="28" applyNumberFormat="1" applyFont="1" applyFill="1" applyBorder="1" applyAlignment="1" applyProtection="1">
      <alignment vertical="center"/>
      <protection hidden="1"/>
    </xf>
    <xf numFmtId="177" fontId="31" fillId="23" borderId="15" xfId="28" applyNumberFormat="1" applyFont="1" applyFill="1" applyBorder="1" applyAlignment="1" applyProtection="1">
      <alignment horizontal="left" vertical="center"/>
      <protection locked="0"/>
    </xf>
    <xf numFmtId="177" fontId="31" fillId="0" borderId="15" xfId="28" applyNumberFormat="1" applyFont="1" applyFill="1" applyBorder="1" applyAlignment="1" applyProtection="1">
      <alignment vertical="center"/>
      <protection locked="0"/>
    </xf>
    <xf numFmtId="177" fontId="31" fillId="0" borderId="0" xfId="0" applyNumberFormat="1" applyFont="1" applyAlignment="1">
      <alignment wrapText="1"/>
    </xf>
    <xf numFmtId="177" fontId="33" fillId="0" borderId="15" xfId="28" applyNumberFormat="1" applyFont="1" applyFill="1" applyBorder="1" applyAlignment="1" applyProtection="1">
      <alignment horizontal="center" vertical="center" wrapText="1"/>
      <protection hidden="1"/>
    </xf>
    <xf numFmtId="177" fontId="33" fillId="0" borderId="15" xfId="0" applyNumberFormat="1" applyFont="1" applyBorder="1" applyAlignment="1" applyProtection="1">
      <alignment horizontal="center" vertical="center" wrapText="1"/>
      <protection hidden="1"/>
    </xf>
    <xf numFmtId="177" fontId="31" fillId="0" borderId="15" xfId="28" applyNumberFormat="1" applyFont="1" applyBorder="1" applyAlignment="1" applyProtection="1">
      <alignment vertical="center"/>
      <protection hidden="1"/>
    </xf>
    <xf numFmtId="177" fontId="31" fillId="0" borderId="15" xfId="28" applyNumberFormat="1" applyFont="1" applyFill="1" applyBorder="1" applyAlignment="1" applyProtection="1">
      <alignment horizontal="left" vertical="center"/>
      <protection locked="0"/>
    </xf>
    <xf numFmtId="177" fontId="31" fillId="23" borderId="0" xfId="28" applyNumberFormat="1" applyFont="1" applyFill="1" applyBorder="1" applyAlignment="1" applyProtection="1">
      <alignment vertical="center"/>
      <protection locked="0" hidden="1"/>
    </xf>
    <xf numFmtId="177" fontId="33" fillId="23" borderId="15" xfId="28" applyNumberFormat="1" applyFont="1" applyFill="1" applyBorder="1" applyAlignment="1" applyProtection="1">
      <alignment horizontal="center" vertical="center" wrapText="1"/>
      <protection hidden="1"/>
    </xf>
    <xf numFmtId="177" fontId="33" fillId="23" borderId="15" xfId="0" applyNumberFormat="1" applyFont="1" applyFill="1" applyBorder="1" applyAlignment="1" applyProtection="1">
      <alignment horizontal="center" vertical="center" wrapText="1"/>
      <protection hidden="1"/>
    </xf>
    <xf numFmtId="177" fontId="31" fillId="0" borderId="0" xfId="28" applyNumberFormat="1" applyFont="1" applyFill="1" applyBorder="1" applyAlignment="1" applyProtection="1">
      <alignment vertical="center"/>
      <protection locked="0" hidden="1"/>
    </xf>
    <xf numFmtId="177" fontId="31" fillId="0" borderId="0" xfId="28" applyNumberFormat="1" applyFont="1" applyFill="1" applyBorder="1" applyAlignment="1" applyProtection="1">
      <alignment vertical="center"/>
      <protection locked="0"/>
    </xf>
    <xf numFmtId="0" fontId="31" fillId="23" borderId="15" xfId="0" applyFont="1" applyFill="1" applyBorder="1" applyAlignment="1" applyProtection="1">
      <alignment horizontal="left" vertical="center" indent="1"/>
      <protection locked="0"/>
    </xf>
    <xf numFmtId="0" fontId="66" fillId="0" borderId="0" xfId="54" quotePrefix="1" applyFont="1" applyAlignment="1">
      <alignment horizontal="left" vertical="center" wrapText="1"/>
    </xf>
    <xf numFmtId="182" fontId="67" fillId="0" borderId="0" xfId="54" applyNumberFormat="1" applyFont="1" applyAlignment="1">
      <alignment horizontal="left"/>
    </xf>
    <xf numFmtId="182" fontId="66" fillId="0" borderId="0" xfId="54" applyNumberFormat="1" applyFont="1" applyAlignment="1">
      <alignment horizontal="left"/>
    </xf>
    <xf numFmtId="182" fontId="68" fillId="0" borderId="0" xfId="54" applyNumberFormat="1" applyFont="1" applyAlignment="1">
      <alignment horizontal="left"/>
    </xf>
    <xf numFmtId="177" fontId="31" fillId="0" borderId="21" xfId="28" applyNumberFormat="1" applyFont="1" applyFill="1" applyBorder="1" applyAlignment="1" applyProtection="1">
      <alignment vertical="center"/>
      <protection hidden="1"/>
    </xf>
    <xf numFmtId="43" fontId="31" fillId="0" borderId="0" xfId="28" applyFont="1"/>
    <xf numFmtId="43" fontId="31" fillId="0" borderId="15" xfId="28" applyFont="1" applyBorder="1" applyAlignment="1" applyProtection="1">
      <alignment horizontal="right" vertical="center" indent="1"/>
      <protection hidden="1"/>
    </xf>
    <xf numFmtId="43" fontId="31" fillId="23" borderId="15" xfId="28" applyFont="1" applyFill="1" applyBorder="1" applyAlignment="1" applyProtection="1">
      <alignment horizontal="right" vertical="center" indent="1"/>
      <protection hidden="1"/>
    </xf>
    <xf numFmtId="43" fontId="31" fillId="0" borderId="22" xfId="28" applyFont="1" applyFill="1" applyBorder="1" applyAlignment="1" applyProtection="1">
      <alignment horizontal="right" vertical="center" indent="1"/>
      <protection hidden="1"/>
    </xf>
    <xf numFmtId="43" fontId="31" fillId="23" borderId="22" xfId="28" applyFont="1" applyFill="1" applyBorder="1" applyAlignment="1" applyProtection="1">
      <alignment horizontal="right" vertical="center" indent="1"/>
      <protection hidden="1"/>
    </xf>
    <xf numFmtId="43" fontId="31" fillId="0" borderId="15" xfId="28" applyFont="1" applyFill="1" applyBorder="1" applyAlignment="1" applyProtection="1">
      <alignment horizontal="right" vertical="center" indent="1"/>
      <protection hidden="1"/>
    </xf>
    <xf numFmtId="43" fontId="31" fillId="0" borderId="22" xfId="28" applyFont="1" applyFill="1" applyBorder="1" applyAlignment="1" applyProtection="1">
      <alignment horizontal="left" vertical="center"/>
    </xf>
    <xf numFmtId="43" fontId="31" fillId="23" borderId="21" xfId="28" applyFont="1" applyFill="1" applyBorder="1" applyAlignment="1" applyProtection="1">
      <alignment horizontal="right" vertical="center" indent="1"/>
      <protection hidden="1"/>
    </xf>
    <xf numFmtId="43" fontId="31" fillId="0" borderId="21" xfId="28" applyFont="1" applyFill="1" applyBorder="1" applyAlignment="1" applyProtection="1">
      <alignment horizontal="right" vertical="center" indent="1"/>
      <protection hidden="1"/>
    </xf>
    <xf numFmtId="43" fontId="31" fillId="23" borderId="15" xfId="28" applyFont="1" applyFill="1" applyBorder="1" applyAlignment="1" applyProtection="1">
      <alignment vertical="center"/>
      <protection locked="0" hidden="1"/>
    </xf>
    <xf numFmtId="43" fontId="31" fillId="0" borderId="15" xfId="28" applyFont="1" applyFill="1" applyBorder="1" applyAlignment="1" applyProtection="1">
      <alignment vertical="center"/>
      <protection locked="0" hidden="1"/>
    </xf>
    <xf numFmtId="43" fontId="31" fillId="23" borderId="15" xfId="28" applyFont="1" applyFill="1" applyBorder="1" applyAlignment="1" applyProtection="1">
      <alignment vertical="center"/>
      <protection hidden="1"/>
    </xf>
    <xf numFmtId="43" fontId="31" fillId="0" borderId="15" xfId="28" applyFont="1" applyFill="1" applyBorder="1" applyAlignment="1" applyProtection="1">
      <alignment vertical="center"/>
      <protection hidden="1"/>
    </xf>
    <xf numFmtId="43" fontId="33" fillId="0" borderId="15" xfId="28" applyFont="1" applyFill="1" applyBorder="1" applyAlignment="1">
      <alignment horizontal="center" vertical="center" wrapText="1"/>
    </xf>
    <xf numFmtId="43" fontId="33" fillId="23" borderId="15" xfId="28" applyFont="1" applyFill="1" applyBorder="1" applyAlignment="1">
      <alignment horizontal="center" vertical="center" wrapText="1"/>
    </xf>
    <xf numFmtId="15" fontId="66" fillId="0" borderId="0" xfId="54" applyNumberFormat="1" applyFont="1" applyAlignment="1">
      <alignment horizontal="left" wrapText="1"/>
    </xf>
    <xf numFmtId="43" fontId="43" fillId="0" borderId="15" xfId="37" applyNumberFormat="1" applyFill="1" applyBorder="1" applyAlignment="1" applyProtection="1">
      <alignment horizontal="left" vertical="center"/>
      <protection locked="0"/>
    </xf>
    <xf numFmtId="0" fontId="31" fillId="0" borderId="16" xfId="0" applyFont="1" applyBorder="1" applyAlignment="1" applyProtection="1">
      <alignment horizontal="left" vertical="center" indent="1"/>
      <protection locked="0"/>
    </xf>
    <xf numFmtId="17" fontId="0" fillId="0" borderId="0" xfId="0" applyNumberFormat="1"/>
    <xf numFmtId="17" fontId="6" fillId="0" borderId="0" xfId="0" applyNumberFormat="1" applyFont="1"/>
    <xf numFmtId="0" fontId="43" fillId="0" borderId="0" xfId="37" applyAlignment="1" applyProtection="1"/>
    <xf numFmtId="0" fontId="31" fillId="23" borderId="16" xfId="0" applyFont="1" applyFill="1" applyBorder="1" applyAlignment="1" applyProtection="1">
      <alignment horizontal="left" vertical="center" indent="1"/>
      <protection locked="0"/>
    </xf>
    <xf numFmtId="177" fontId="31" fillId="23" borderId="0" xfId="28" applyNumberFormat="1" applyFont="1" applyFill="1" applyBorder="1" applyAlignment="1" applyProtection="1">
      <alignment vertical="center"/>
      <protection locked="0"/>
    </xf>
    <xf numFmtId="15" fontId="1" fillId="27" borderId="13" xfId="60" applyNumberFormat="1" applyBorder="1" applyAlignment="1" applyProtection="1">
      <alignment vertical="center"/>
      <protection locked="0"/>
    </xf>
    <xf numFmtId="15" fontId="1" fillId="27" borderId="15" xfId="60" applyNumberFormat="1" applyBorder="1" applyAlignment="1" applyProtection="1">
      <alignment horizontal="left" vertical="center" indent="1"/>
      <protection locked="0"/>
    </xf>
    <xf numFmtId="49" fontId="1" fillId="27" borderId="15" xfId="60" applyNumberFormat="1" applyBorder="1" applyAlignment="1" applyProtection="1">
      <alignment horizontal="center" vertical="center"/>
      <protection locked="0"/>
    </xf>
    <xf numFmtId="43" fontId="1" fillId="27" borderId="15" xfId="60" applyNumberFormat="1" applyBorder="1" applyAlignment="1" applyProtection="1">
      <alignment horizontal="left" vertical="center"/>
      <protection locked="0"/>
    </xf>
    <xf numFmtId="177" fontId="1" fillId="27" borderId="15" xfId="60" applyNumberFormat="1" applyBorder="1" applyAlignment="1" applyProtection="1">
      <alignment vertical="center"/>
      <protection locked="0"/>
    </xf>
    <xf numFmtId="177" fontId="1" fillId="27" borderId="15" xfId="60" applyNumberFormat="1" applyBorder="1" applyAlignment="1" applyProtection="1">
      <alignment horizontal="left" vertical="center"/>
      <protection locked="0"/>
    </xf>
    <xf numFmtId="177" fontId="1" fillId="27" borderId="15" xfId="60" applyNumberFormat="1" applyBorder="1" applyAlignment="1" applyProtection="1">
      <alignment vertical="center"/>
      <protection locked="0" hidden="1"/>
    </xf>
    <xf numFmtId="177" fontId="1" fillId="27" borderId="15" xfId="60" applyNumberFormat="1" applyBorder="1" applyAlignment="1" applyProtection="1">
      <alignment vertical="center"/>
      <protection hidden="1"/>
    </xf>
    <xf numFmtId="43" fontId="1" fillId="27" borderId="15" xfId="60" applyNumberFormat="1" applyBorder="1" applyAlignment="1" applyProtection="1">
      <alignment vertical="center"/>
      <protection locked="0" hidden="1"/>
    </xf>
    <xf numFmtId="39" fontId="1" fillId="27" borderId="15" xfId="60" applyNumberFormat="1" applyBorder="1" applyAlignment="1" applyProtection="1">
      <alignment horizontal="left" vertical="center" indent="1"/>
      <protection hidden="1"/>
    </xf>
    <xf numFmtId="0" fontId="1" fillId="27" borderId="15" xfId="60" applyBorder="1" applyAlignment="1" applyProtection="1">
      <alignment horizontal="left" vertical="center" indent="1"/>
      <protection locked="0"/>
    </xf>
    <xf numFmtId="39" fontId="1" fillId="27" borderId="15" xfId="60" applyNumberFormat="1" applyBorder="1" applyAlignment="1" applyProtection="1">
      <alignment horizontal="left" vertical="center" indent="1"/>
      <protection locked="0" hidden="1"/>
    </xf>
    <xf numFmtId="43" fontId="1" fillId="27" borderId="21" xfId="60" applyNumberFormat="1" applyBorder="1" applyAlignment="1" applyProtection="1">
      <alignment horizontal="right" vertical="center" indent="1"/>
      <protection hidden="1"/>
    </xf>
    <xf numFmtId="0" fontId="1" fillId="27" borderId="16" xfId="60" quotePrefix="1" applyBorder="1" applyAlignment="1" applyProtection="1">
      <alignment horizontal="left" vertical="center" indent="1"/>
      <protection locked="0"/>
    </xf>
    <xf numFmtId="177" fontId="1" fillId="27" borderId="0" xfId="60" applyNumberFormat="1" applyBorder="1" applyAlignment="1" applyProtection="1">
      <alignment vertical="center"/>
      <protection locked="0" hidden="1"/>
    </xf>
    <xf numFmtId="0" fontId="70" fillId="27" borderId="0" xfId="60" applyFont="1" applyAlignment="1">
      <alignment horizontal="center" vertical="center" wrapText="1"/>
    </xf>
    <xf numFmtId="43" fontId="66" fillId="0" borderId="0" xfId="54" applyNumberFormat="1" applyFont="1" applyAlignment="1">
      <alignment horizontal="left" wrapText="1"/>
    </xf>
    <xf numFmtId="43" fontId="31" fillId="0" borderId="115" xfId="61" applyFont="1" applyBorder="1" applyAlignment="1">
      <alignment vertical="center"/>
    </xf>
    <xf numFmtId="9" fontId="31" fillId="0" borderId="114" xfId="62" applyFont="1" applyBorder="1" applyAlignment="1">
      <alignment vertical="center"/>
    </xf>
    <xf numFmtId="176" fontId="31" fillId="0" borderId="0" xfId="46" applyNumberFormat="1" applyFont="1" applyAlignment="1">
      <alignment vertical="center"/>
    </xf>
    <xf numFmtId="2" fontId="71" fillId="0" borderId="0" xfId="46" applyNumberFormat="1" applyFont="1"/>
    <xf numFmtId="0" fontId="71" fillId="0" borderId="0" xfId="46" applyFont="1"/>
    <xf numFmtId="0" fontId="31" fillId="0" borderId="126" xfId="46" applyFont="1" applyBorder="1" applyAlignment="1">
      <alignment vertical="center" wrapText="1"/>
    </xf>
    <xf numFmtId="10" fontId="31" fillId="0" borderId="125" xfId="46" applyNumberFormat="1" applyFont="1" applyBorder="1" applyAlignment="1">
      <alignment vertical="center"/>
    </xf>
    <xf numFmtId="1" fontId="31" fillId="0" borderId="125" xfId="46" applyNumberFormat="1" applyFont="1" applyBorder="1" applyAlignment="1">
      <alignment vertical="center"/>
    </xf>
    <xf numFmtId="179" fontId="31" fillId="0" borderId="105" xfId="46" applyNumberFormat="1" applyFont="1" applyBorder="1" applyAlignment="1">
      <alignment vertical="center"/>
    </xf>
    <xf numFmtId="1" fontId="31" fillId="0" borderId="105" xfId="46" applyNumberFormat="1" applyFont="1" applyBorder="1" applyAlignment="1">
      <alignment vertical="center"/>
    </xf>
    <xf numFmtId="0" fontId="31" fillId="23" borderId="99" xfId="46" applyFont="1" applyFill="1" applyBorder="1" applyAlignment="1">
      <alignment vertical="center" wrapText="1"/>
    </xf>
    <xf numFmtId="0" fontId="31" fillId="23" borderId="95" xfId="46" applyFont="1" applyFill="1" applyBorder="1" applyAlignment="1">
      <alignment horizontal="left" vertical="center" indent="1"/>
    </xf>
    <xf numFmtId="0" fontId="31" fillId="23" borderId="99" xfId="46" quotePrefix="1" applyFont="1" applyFill="1" applyBorder="1" applyAlignment="1">
      <alignment vertical="center" wrapText="1"/>
    </xf>
    <xf numFmtId="0" fontId="31" fillId="28" borderId="98" xfId="46" applyFont="1" applyFill="1" applyBorder="1" applyAlignment="1">
      <alignment vertical="center" wrapText="1"/>
    </xf>
    <xf numFmtId="0" fontId="31" fillId="28" borderId="21" xfId="46" applyFont="1" applyFill="1" applyBorder="1" applyAlignment="1">
      <alignment horizontal="left" vertical="center" indent="1"/>
    </xf>
    <xf numFmtId="10" fontId="31" fillId="28" borderId="125" xfId="46" applyNumberFormat="1" applyFont="1" applyFill="1" applyBorder="1" applyAlignment="1">
      <alignment vertical="center"/>
    </xf>
    <xf numFmtId="1" fontId="31" fillId="28" borderId="125" xfId="46" applyNumberFormat="1" applyFont="1" applyFill="1" applyBorder="1" applyAlignment="1">
      <alignment vertical="center"/>
    </xf>
    <xf numFmtId="1" fontId="31" fillId="28" borderId="106" xfId="46" applyNumberFormat="1" applyFont="1" applyFill="1" applyBorder="1" applyAlignment="1">
      <alignment horizontal="right" vertical="center" indent="1"/>
    </xf>
    <xf numFmtId="0" fontId="31" fillId="29" borderId="98" xfId="46" quotePrefix="1" applyFont="1" applyFill="1" applyBorder="1" applyAlignment="1">
      <alignment vertical="center" wrapText="1"/>
    </xf>
    <xf numFmtId="0" fontId="31" fillId="29" borderId="21" xfId="46" applyFont="1" applyFill="1" applyBorder="1" applyAlignment="1">
      <alignment horizontal="left" vertical="center" indent="1"/>
    </xf>
    <xf numFmtId="10" fontId="31" fillId="29" borderId="104" xfId="46" applyNumberFormat="1" applyFont="1" applyFill="1" applyBorder="1" applyAlignment="1">
      <alignment vertical="center"/>
    </xf>
    <xf numFmtId="1" fontId="31" fillId="29" borderId="104" xfId="46" applyNumberFormat="1" applyFont="1" applyFill="1" applyBorder="1" applyAlignment="1">
      <alignment vertical="center"/>
    </xf>
    <xf numFmtId="1" fontId="31" fillId="29" borderId="106" xfId="46" applyNumberFormat="1" applyFont="1" applyFill="1" applyBorder="1" applyAlignment="1">
      <alignment horizontal="right" vertical="center" indent="1"/>
    </xf>
    <xf numFmtId="0" fontId="31" fillId="29" borderId="98" xfId="46" applyFont="1" applyFill="1" applyBorder="1" applyAlignment="1">
      <alignment vertical="center" wrapText="1"/>
    </xf>
    <xf numFmtId="10" fontId="31" fillId="29" borderId="125" xfId="46" applyNumberFormat="1" applyFont="1" applyFill="1" applyBorder="1" applyAlignment="1">
      <alignment vertical="center"/>
    </xf>
    <xf numFmtId="1" fontId="31" fillId="29" borderId="125" xfId="46" applyNumberFormat="1" applyFont="1" applyFill="1" applyBorder="1" applyAlignment="1">
      <alignment vertical="center"/>
    </xf>
    <xf numFmtId="43" fontId="41" fillId="0" borderId="47" xfId="28" applyFont="1" applyFill="1" applyBorder="1" applyAlignment="1">
      <alignment horizontal="left" vertical="center"/>
    </xf>
    <xf numFmtId="43" fontId="1" fillId="27" borderId="15" xfId="60" applyNumberFormat="1" applyBorder="1" applyAlignment="1" applyProtection="1">
      <alignment horizontal="left" vertical="center"/>
      <protection hidden="1"/>
    </xf>
    <xf numFmtId="43" fontId="34" fillId="0" borderId="15" xfId="28" applyFont="1" applyFill="1" applyBorder="1" applyAlignment="1" applyProtection="1">
      <alignment horizontal="left" vertical="center"/>
      <protection locked="0"/>
    </xf>
    <xf numFmtId="43" fontId="67" fillId="0" borderId="0" xfId="54" applyNumberFormat="1" applyFont="1"/>
    <xf numFmtId="43" fontId="31" fillId="0" borderId="16" xfId="28" applyFont="1" applyBorder="1" applyAlignment="1" applyProtection="1">
      <alignment horizontal="right" vertical="center" indent="1"/>
      <protection hidden="1"/>
    </xf>
    <xf numFmtId="43" fontId="31" fillId="23" borderId="16" xfId="28" applyFont="1" applyFill="1" applyBorder="1" applyAlignment="1" applyProtection="1">
      <alignment horizontal="right" vertical="center" indent="1"/>
      <protection hidden="1"/>
    </xf>
    <xf numFmtId="43" fontId="31" fillId="0" borderId="14" xfId="28" applyFont="1" applyFill="1" applyBorder="1" applyAlignment="1" applyProtection="1">
      <alignment horizontal="right" vertical="center" indent="1"/>
      <protection hidden="1"/>
    </xf>
    <xf numFmtId="43" fontId="31" fillId="23" borderId="14" xfId="28" applyFont="1" applyFill="1" applyBorder="1" applyAlignment="1" applyProtection="1">
      <alignment horizontal="right" vertical="center" indent="1"/>
      <protection hidden="1"/>
    </xf>
    <xf numFmtId="43" fontId="31" fillId="0" borderId="16" xfId="28" applyFont="1" applyFill="1" applyBorder="1" applyAlignment="1" applyProtection="1">
      <alignment horizontal="right" vertical="center" indent="1"/>
      <protection hidden="1"/>
    </xf>
    <xf numFmtId="43" fontId="31" fillId="0" borderId="14" xfId="28" applyFont="1" applyFill="1" applyBorder="1" applyAlignment="1" applyProtection="1">
      <alignment horizontal="left" vertical="center"/>
    </xf>
    <xf numFmtId="43" fontId="31" fillId="23" borderId="0" xfId="28" applyFont="1" applyFill="1" applyBorder="1" applyAlignment="1" applyProtection="1">
      <alignment horizontal="right" vertical="center" indent="1"/>
      <protection hidden="1"/>
    </xf>
    <xf numFmtId="43" fontId="31" fillId="0" borderId="0" xfId="28" applyFont="1" applyFill="1" applyBorder="1" applyAlignment="1" applyProtection="1">
      <alignment horizontal="right" vertical="center" indent="1"/>
      <protection hidden="1"/>
    </xf>
    <xf numFmtId="43" fontId="1" fillId="27" borderId="14" xfId="60" applyNumberFormat="1" applyBorder="1" applyAlignment="1" applyProtection="1">
      <alignment horizontal="right" vertical="center" indent="1"/>
      <protection hidden="1"/>
    </xf>
    <xf numFmtId="43" fontId="1" fillId="27" borderId="0" xfId="60" applyNumberFormat="1" applyBorder="1" applyAlignment="1" applyProtection="1">
      <alignment horizontal="right" vertical="center" indent="1"/>
      <protection hidden="1"/>
    </xf>
    <xf numFmtId="177" fontId="31" fillId="0" borderId="16" xfId="28" applyNumberFormat="1" applyFont="1" applyFill="1" applyBorder="1" applyAlignment="1" applyProtection="1">
      <alignment vertical="center"/>
      <protection locked="0" hidden="1"/>
    </xf>
    <xf numFmtId="43" fontId="31" fillId="0" borderId="23" xfId="28" applyFont="1" applyFill="1" applyBorder="1" applyAlignment="1" applyProtection="1">
      <alignment vertical="center"/>
      <protection hidden="1"/>
    </xf>
    <xf numFmtId="0" fontId="45" fillId="0" borderId="127" xfId="0" applyFont="1" applyBorder="1" applyAlignment="1">
      <alignment vertical="center"/>
    </xf>
    <xf numFmtId="0" fontId="6" fillId="0" borderId="127" xfId="0" applyFont="1" applyBorder="1" applyAlignment="1">
      <alignment horizontal="center" vertical="center" wrapText="1"/>
    </xf>
    <xf numFmtId="0" fontId="45" fillId="0" borderId="127" xfId="0" applyFont="1" applyBorder="1" applyAlignment="1">
      <alignment horizontal="center" vertical="center" wrapText="1"/>
    </xf>
    <xf numFmtId="0" fontId="45" fillId="0" borderId="127" xfId="0" applyFont="1" applyBorder="1" applyAlignment="1">
      <alignment horizontal="left" vertical="center"/>
    </xf>
    <xf numFmtId="0" fontId="45" fillId="0" borderId="127" xfId="0" applyFont="1" applyBorder="1" applyAlignment="1">
      <alignment horizontal="left" vertical="center" wrapText="1"/>
    </xf>
    <xf numFmtId="43" fontId="6" fillId="0" borderId="127" xfId="0" applyNumberFormat="1" applyFont="1" applyBorder="1" applyAlignment="1" applyProtection="1">
      <alignment vertical="center"/>
      <protection hidden="1"/>
    </xf>
    <xf numFmtId="43" fontId="45" fillId="0" borderId="127" xfId="0" applyNumberFormat="1" applyFont="1" applyBorder="1" applyAlignment="1">
      <alignment vertical="center"/>
    </xf>
    <xf numFmtId="166" fontId="46" fillId="0" borderId="127" xfId="47" applyNumberFormat="1" applyFont="1" applyBorder="1" applyAlignment="1">
      <alignment vertical="center"/>
    </xf>
    <xf numFmtId="43" fontId="46" fillId="0" borderId="127" xfId="47" applyFont="1" applyBorder="1" applyAlignment="1">
      <alignment vertical="center"/>
    </xf>
    <xf numFmtId="164" fontId="46" fillId="0" borderId="127" xfId="47" applyNumberFormat="1" applyFont="1" applyBorder="1" applyAlignment="1">
      <alignment vertical="center"/>
    </xf>
    <xf numFmtId="43" fontId="6" fillId="0" borderId="127" xfId="0" applyNumberFormat="1" applyFont="1" applyBorder="1" applyAlignment="1">
      <alignment vertical="center"/>
    </xf>
    <xf numFmtId="166" fontId="45" fillId="0" borderId="127" xfId="0" applyNumberFormat="1" applyFont="1" applyBorder="1" applyAlignment="1">
      <alignment vertical="center"/>
    </xf>
    <xf numFmtId="43" fontId="6" fillId="0" borderId="127" xfId="50" applyFont="1" applyBorder="1" applyAlignment="1">
      <alignment vertical="center"/>
    </xf>
    <xf numFmtId="183" fontId="46" fillId="0" borderId="127" xfId="47" applyNumberFormat="1" applyFont="1" applyBorder="1" applyAlignment="1">
      <alignment vertical="center"/>
    </xf>
    <xf numFmtId="43" fontId="6" fillId="0" borderId="127" xfId="57" applyBorder="1" applyAlignment="1" applyProtection="1">
      <alignment vertical="center"/>
      <protection hidden="1"/>
    </xf>
    <xf numFmtId="0" fontId="64" fillId="0" borderId="0" xfId="0" applyFont="1" applyAlignment="1">
      <alignment horizontal="right" vertical="center" indent="1"/>
    </xf>
    <xf numFmtId="0" fontId="41" fillId="0" borderId="0" xfId="37" quotePrefix="1" applyFont="1" applyAlignment="1" applyProtection="1">
      <alignment horizontal="left" vertical="center" wrapText="1"/>
    </xf>
    <xf numFmtId="49" fontId="27" fillId="0" borderId="35" xfId="28" applyNumberFormat="1" applyFont="1" applyBorder="1" applyAlignment="1">
      <alignment horizontal="center" vertical="center" wrapText="1"/>
    </xf>
    <xf numFmtId="49" fontId="27" fillId="0" borderId="36" xfId="28" applyNumberFormat="1" applyFont="1" applyBorder="1" applyAlignment="1">
      <alignment horizontal="center" vertical="center" wrapText="1"/>
    </xf>
    <xf numFmtId="49" fontId="27" fillId="0" borderId="35" xfId="28" applyNumberFormat="1" applyFont="1" applyBorder="1" applyAlignment="1" applyProtection="1">
      <alignment horizontal="center" vertical="center" wrapText="1"/>
      <protection locked="0"/>
    </xf>
    <xf numFmtId="49" fontId="27" fillId="0" borderId="36" xfId="28" applyNumberFormat="1" applyFont="1" applyBorder="1" applyAlignment="1" applyProtection="1">
      <alignment horizontal="center" vertical="center" wrapText="1"/>
      <protection locked="0"/>
    </xf>
    <xf numFmtId="49" fontId="38" fillId="0" borderId="35" xfId="28" applyNumberFormat="1" applyFont="1" applyBorder="1" applyAlignment="1" applyProtection="1">
      <alignment horizontal="center" vertical="center" wrapText="1"/>
      <protection locked="0"/>
    </xf>
    <xf numFmtId="49" fontId="38" fillId="0" borderId="36" xfId="28" applyNumberFormat="1" applyFont="1" applyBorder="1" applyAlignment="1" applyProtection="1">
      <alignment horizontal="center" vertical="center" wrapText="1"/>
      <protection locked="0"/>
    </xf>
    <xf numFmtId="43" fontId="27" fillId="0" borderId="35" xfId="28" applyFont="1" applyBorder="1" applyAlignment="1" applyProtection="1">
      <alignment horizontal="center" vertical="center" wrapText="1"/>
      <protection locked="0"/>
    </xf>
    <xf numFmtId="43" fontId="27" fillId="0" borderId="36" xfId="28" applyFont="1" applyBorder="1" applyAlignment="1" applyProtection="1">
      <alignment horizontal="center" vertical="center" wrapText="1"/>
      <protection locked="0"/>
    </xf>
    <xf numFmtId="43" fontId="27" fillId="0" borderId="37" xfId="28" applyFont="1" applyBorder="1" applyAlignment="1">
      <alignment horizontal="center" vertical="center" wrapText="1"/>
    </xf>
    <xf numFmtId="43" fontId="27" fillId="0" borderId="38" xfId="28" applyFont="1" applyBorder="1" applyAlignment="1">
      <alignment horizontal="center" vertical="center" wrapText="1"/>
    </xf>
    <xf numFmtId="43" fontId="8" fillId="0" borderId="39" xfId="28" applyFont="1" applyBorder="1" applyAlignment="1">
      <alignment horizontal="left" vertical="center"/>
    </xf>
    <xf numFmtId="49" fontId="7" fillId="0" borderId="35" xfId="28" applyNumberFormat="1" applyFont="1" applyBorder="1" applyAlignment="1" applyProtection="1">
      <alignment horizontal="center" vertical="center" wrapText="1"/>
      <protection locked="0"/>
    </xf>
    <xf numFmtId="49" fontId="7" fillId="0" borderId="36" xfId="28" applyNumberFormat="1" applyFont="1" applyBorder="1" applyAlignment="1" applyProtection="1">
      <alignment horizontal="center" vertical="center" wrapText="1"/>
      <protection locked="0"/>
    </xf>
    <xf numFmtId="0" fontId="8" fillId="0" borderId="40" xfId="0" applyFont="1" applyBorder="1" applyAlignment="1">
      <alignment horizontal="left" vertical="center" wrapText="1"/>
    </xf>
    <xf numFmtId="0" fontId="8" fillId="0" borderId="39" xfId="0" applyFont="1" applyBorder="1" applyAlignment="1">
      <alignment horizontal="left" vertical="center" wrapText="1"/>
    </xf>
    <xf numFmtId="0" fontId="8" fillId="0" borderId="41" xfId="0" applyFont="1" applyBorder="1" applyAlignment="1">
      <alignment horizontal="left" vertical="center" wrapText="1"/>
    </xf>
    <xf numFmtId="0" fontId="8" fillId="0" borderId="11" xfId="0" applyFont="1" applyBorder="1" applyAlignment="1">
      <alignment horizontal="left" vertical="center" wrapText="1"/>
    </xf>
    <xf numFmtId="43" fontId="1" fillId="27" borderId="15" xfId="60" applyNumberFormat="1" applyBorder="1" applyAlignment="1" applyProtection="1">
      <alignment horizontal="left" vertical="center"/>
      <protection hidden="1"/>
    </xf>
    <xf numFmtId="49" fontId="1" fillId="27" borderId="15" xfId="60" applyNumberFormat="1" applyBorder="1" applyAlignment="1" applyProtection="1">
      <alignment horizontal="center" vertical="center"/>
      <protection locked="0"/>
    </xf>
    <xf numFmtId="43" fontId="1" fillId="27" borderId="15" xfId="60" applyNumberFormat="1" applyBorder="1" applyAlignment="1" applyProtection="1">
      <alignment horizontal="left" vertical="center"/>
      <protection locked="0"/>
    </xf>
    <xf numFmtId="0" fontId="44" fillId="23" borderId="16" xfId="0" applyFont="1" applyFill="1" applyBorder="1" applyAlignment="1">
      <alignment horizontal="center" vertical="center" wrapText="1"/>
    </xf>
    <xf numFmtId="43" fontId="1" fillId="27" borderId="22" xfId="60" applyNumberFormat="1" applyBorder="1" applyAlignment="1" applyProtection="1">
      <alignment horizontal="right" vertical="center" indent="1"/>
      <protection hidden="1"/>
    </xf>
    <xf numFmtId="15" fontId="1" fillId="27" borderId="13" xfId="60" applyNumberFormat="1" applyBorder="1" applyAlignment="1" applyProtection="1">
      <alignment vertical="center"/>
      <protection locked="0"/>
    </xf>
    <xf numFmtId="0" fontId="44" fillId="0" borderId="16" xfId="0" applyFont="1" applyBorder="1" applyAlignment="1">
      <alignment horizontal="center" vertical="center" wrapText="1"/>
    </xf>
    <xf numFmtId="49" fontId="55" fillId="0" borderId="15" xfId="0" applyNumberFormat="1" applyFont="1" applyBorder="1" applyAlignment="1" applyProtection="1">
      <alignment horizontal="center" vertical="center"/>
      <protection locked="0"/>
    </xf>
    <xf numFmtId="43" fontId="31" fillId="0" borderId="22" xfId="28" applyFont="1" applyFill="1" applyBorder="1" applyAlignment="1" applyProtection="1">
      <alignment horizontal="right" vertical="center" indent="1"/>
      <protection hidden="1"/>
    </xf>
    <xf numFmtId="15" fontId="31" fillId="0" borderId="13" xfId="0" applyNumberFormat="1" applyFont="1" applyBorder="1" applyAlignment="1" applyProtection="1">
      <alignment vertical="center"/>
      <protection locked="0"/>
    </xf>
    <xf numFmtId="43" fontId="31" fillId="0" borderId="15" xfId="28" applyFont="1" applyFill="1" applyBorder="1" applyAlignment="1" applyProtection="1">
      <alignment horizontal="left" vertical="center"/>
      <protection hidden="1"/>
    </xf>
    <xf numFmtId="43" fontId="31" fillId="0" borderId="15" xfId="28" applyFont="1" applyFill="1" applyBorder="1" applyAlignment="1" applyProtection="1">
      <alignment horizontal="left" vertical="center"/>
      <protection locked="0"/>
    </xf>
    <xf numFmtId="49" fontId="31" fillId="0" borderId="15" xfId="0" applyNumberFormat="1" applyFont="1" applyBorder="1" applyAlignment="1" applyProtection="1">
      <alignment horizontal="left" vertical="center"/>
      <protection locked="0"/>
    </xf>
    <xf numFmtId="43" fontId="31" fillId="23" borderId="22" xfId="28" applyFont="1" applyFill="1" applyBorder="1" applyAlignment="1" applyProtection="1">
      <alignment horizontal="right" vertical="center" indent="1"/>
      <protection hidden="1"/>
    </xf>
    <xf numFmtId="15" fontId="31" fillId="23" borderId="13" xfId="0" applyNumberFormat="1" applyFont="1" applyFill="1" applyBorder="1" applyAlignment="1" applyProtection="1">
      <alignment vertical="center"/>
      <protection locked="0"/>
    </xf>
    <xf numFmtId="43" fontId="31" fillId="23" borderId="15" xfId="28" applyFont="1" applyFill="1" applyBorder="1" applyAlignment="1" applyProtection="1">
      <alignment horizontal="left" vertical="center"/>
      <protection hidden="1"/>
    </xf>
    <xf numFmtId="43" fontId="34" fillId="0" borderId="15" xfId="28" applyFont="1" applyFill="1" applyBorder="1" applyAlignment="1" applyProtection="1">
      <alignment horizontal="left" vertical="center"/>
      <protection locked="0"/>
    </xf>
    <xf numFmtId="49" fontId="55" fillId="23" borderId="15" xfId="0" applyNumberFormat="1" applyFont="1" applyFill="1" applyBorder="1" applyAlignment="1" applyProtection="1">
      <alignment horizontal="center" vertical="center"/>
      <protection locked="0"/>
    </xf>
    <xf numFmtId="43" fontId="31" fillId="23" borderId="15" xfId="28" applyFont="1" applyFill="1" applyBorder="1" applyAlignment="1" applyProtection="1">
      <alignment horizontal="left" vertical="center"/>
      <protection locked="0"/>
    </xf>
    <xf numFmtId="43" fontId="31" fillId="23" borderId="15" xfId="28" applyFont="1" applyFill="1" applyBorder="1" applyAlignment="1" applyProtection="1">
      <alignment vertical="center"/>
      <protection locked="0" hidden="1"/>
    </xf>
    <xf numFmtId="49" fontId="31" fillId="23" borderId="15" xfId="0" applyNumberFormat="1" applyFont="1" applyFill="1" applyBorder="1" applyAlignment="1" applyProtection="1">
      <alignment horizontal="left" vertical="center"/>
      <protection locked="0"/>
    </xf>
    <xf numFmtId="0" fontId="43" fillId="23" borderId="15" xfId="37" quotePrefix="1" applyFill="1" applyBorder="1" applyAlignment="1" applyProtection="1">
      <alignment horizontal="left" vertical="center" indent="1"/>
      <protection locked="0"/>
    </xf>
    <xf numFmtId="0" fontId="41" fillId="0" borderId="0" xfId="0" applyFont="1" applyAlignment="1">
      <alignment horizontal="left" vertical="center" indent="1"/>
    </xf>
    <xf numFmtId="0" fontId="31" fillId="0" borderId="31" xfId="46" applyFont="1" applyBorder="1" applyAlignment="1">
      <alignment horizontal="center" vertical="center"/>
    </xf>
    <xf numFmtId="0" fontId="31" fillId="0" borderId="34" xfId="46" applyFont="1" applyBorder="1" applyAlignment="1">
      <alignment horizontal="center" vertical="center"/>
    </xf>
    <xf numFmtId="0" fontId="31" fillId="0" borderId="30" xfId="46" applyFont="1" applyBorder="1" applyAlignment="1">
      <alignment horizontal="center" vertical="center"/>
    </xf>
    <xf numFmtId="0" fontId="31" fillId="0" borderId="24" xfId="46" applyFont="1" applyBorder="1" applyAlignment="1">
      <alignment horizontal="center" vertical="center"/>
    </xf>
    <xf numFmtId="0" fontId="31" fillId="0" borderId="0" xfId="46" applyFont="1" applyAlignment="1">
      <alignment horizontal="center" vertical="center" wrapText="1"/>
    </xf>
    <xf numFmtId="176" fontId="31" fillId="0" borderId="31" xfId="46" applyNumberFormat="1" applyFont="1" applyBorder="1" applyAlignment="1">
      <alignment vertical="center" wrapText="1"/>
    </xf>
    <xf numFmtId="176" fontId="31" fillId="0" borderId="21" xfId="46" applyNumberFormat="1" applyFont="1" applyBorder="1" applyAlignment="1">
      <alignment vertical="center" wrapText="1"/>
    </xf>
    <xf numFmtId="176" fontId="31" fillId="0" borderId="34" xfId="46" applyNumberFormat="1" applyFont="1" applyBorder="1" applyAlignment="1">
      <alignment vertical="center" wrapText="1"/>
    </xf>
    <xf numFmtId="176" fontId="31" fillId="0" borderId="30" xfId="46" applyNumberFormat="1" applyFont="1" applyBorder="1" applyAlignment="1">
      <alignment vertical="center" wrapText="1"/>
    </xf>
    <xf numFmtId="176" fontId="31" fillId="0" borderId="24" xfId="46" applyNumberFormat="1" applyFont="1" applyBorder="1" applyAlignment="1">
      <alignment vertical="center" wrapText="1"/>
    </xf>
    <xf numFmtId="0" fontId="32" fillId="22" borderId="30" xfId="46" applyFont="1" applyFill="1" applyBorder="1" applyAlignment="1">
      <alignment horizontal="left" vertical="center" wrapText="1"/>
    </xf>
    <xf numFmtId="0" fontId="32" fillId="22" borderId="24" xfId="46" applyFont="1" applyFill="1" applyBorder="1" applyAlignment="1">
      <alignment horizontal="left" vertical="center" wrapText="1"/>
    </xf>
    <xf numFmtId="0" fontId="31" fillId="0" borderId="16" xfId="46" applyFont="1" applyBorder="1" applyAlignment="1">
      <alignment horizontal="center" vertical="center" wrapText="1"/>
    </xf>
    <xf numFmtId="0" fontId="31" fillId="0" borderId="31" xfId="46" applyFont="1" applyBorder="1" applyAlignment="1">
      <alignment horizontal="center" vertical="center" wrapText="1"/>
    </xf>
    <xf numFmtId="0" fontId="31" fillId="0" borderId="34" xfId="46" applyFont="1" applyBorder="1" applyAlignment="1">
      <alignment horizontal="center" vertical="center" wrapText="1"/>
    </xf>
    <xf numFmtId="166" fontId="31" fillId="0" borderId="30" xfId="46" applyNumberFormat="1" applyFont="1" applyBorder="1" applyAlignment="1">
      <alignment horizontal="center" vertical="center"/>
    </xf>
    <xf numFmtId="166" fontId="31" fillId="0" borderId="33" xfId="46" applyNumberFormat="1" applyFont="1" applyBorder="1" applyAlignment="1">
      <alignment horizontal="center" vertical="center"/>
    </xf>
    <xf numFmtId="166" fontId="31" fillId="0" borderId="24" xfId="46" applyNumberFormat="1" applyFont="1" applyBorder="1" applyAlignment="1">
      <alignment horizontal="center" vertical="center"/>
    </xf>
    <xf numFmtId="166" fontId="31" fillId="0" borderId="79" xfId="46" applyNumberFormat="1" applyFont="1" applyBorder="1" applyAlignment="1">
      <alignment horizontal="center" vertical="center"/>
    </xf>
    <xf numFmtId="177" fontId="31" fillId="0" borderId="101" xfId="46" applyNumberFormat="1" applyFont="1" applyBorder="1" applyAlignment="1">
      <alignment vertical="center" wrapText="1"/>
    </xf>
    <xf numFmtId="177" fontId="31" fillId="0" borderId="102" xfId="46" applyNumberFormat="1" applyFont="1" applyBorder="1" applyAlignment="1">
      <alignment vertical="center" wrapText="1"/>
    </xf>
    <xf numFmtId="177" fontId="31" fillId="0" borderId="103" xfId="46" applyNumberFormat="1" applyFont="1" applyBorder="1" applyAlignment="1">
      <alignment vertical="center" wrapText="1"/>
    </xf>
    <xf numFmtId="166" fontId="31" fillId="0" borderId="30" xfId="50" applyNumberFormat="1" applyFont="1" applyBorder="1" applyAlignment="1">
      <alignment vertical="center" wrapText="1"/>
    </xf>
    <xf numFmtId="166" fontId="31" fillId="0" borderId="0" xfId="50" applyNumberFormat="1" applyFont="1" applyBorder="1" applyAlignment="1">
      <alignment vertical="center" wrapText="1"/>
    </xf>
    <xf numFmtId="166" fontId="31" fillId="0" borderId="24" xfId="50" applyNumberFormat="1" applyFont="1" applyBorder="1" applyAlignment="1">
      <alignment vertical="center" wrapText="1"/>
    </xf>
    <xf numFmtId="177" fontId="31" fillId="0" borderId="31" xfId="46" applyNumberFormat="1" applyFont="1" applyBorder="1" applyAlignment="1">
      <alignment vertical="center" wrapText="1"/>
    </xf>
    <xf numFmtId="177" fontId="31" fillId="0" borderId="21" xfId="46" applyNumberFormat="1" applyFont="1" applyBorder="1" applyAlignment="1">
      <alignment vertical="center" wrapText="1"/>
    </xf>
    <xf numFmtId="43" fontId="31" fillId="0" borderId="30" xfId="50" applyFont="1" applyBorder="1" applyAlignment="1">
      <alignment vertical="center" wrapText="1"/>
    </xf>
    <xf numFmtId="43" fontId="31" fillId="0" borderId="0" xfId="50" applyFont="1" applyBorder="1" applyAlignment="1">
      <alignment vertical="center" wrapText="1"/>
    </xf>
    <xf numFmtId="43" fontId="31" fillId="0" borderId="24" xfId="50" applyFont="1" applyBorder="1" applyAlignment="1">
      <alignment vertical="center" wrapText="1"/>
    </xf>
    <xf numFmtId="0" fontId="31" fillId="0" borderId="33" xfId="46" quotePrefix="1" applyFont="1" applyBorder="1" applyAlignment="1">
      <alignment horizontal="center" vertical="center"/>
    </xf>
    <xf numFmtId="0" fontId="31" fillId="0" borderId="79" xfId="46" applyFont="1" applyBorder="1" applyAlignment="1">
      <alignment horizontal="center" vertical="center"/>
    </xf>
    <xf numFmtId="0" fontId="31" fillId="0" borderId="33" xfId="46" applyFont="1" applyBorder="1" applyAlignment="1">
      <alignment horizontal="center" vertical="center"/>
    </xf>
    <xf numFmtId="0" fontId="31" fillId="0" borderId="33" xfId="46" applyFont="1" applyBorder="1" applyAlignment="1">
      <alignment horizontal="center" vertical="center" wrapText="1"/>
    </xf>
    <xf numFmtId="0" fontId="31" fillId="0" borderId="79" xfId="46" applyFont="1" applyBorder="1" applyAlignment="1">
      <alignment horizontal="center" vertical="center" wrapText="1"/>
    </xf>
    <xf numFmtId="0" fontId="7" fillId="0" borderId="127" xfId="0" applyFont="1" applyBorder="1" applyAlignment="1">
      <alignment horizontal="center" vertical="center"/>
    </xf>
    <xf numFmtId="0" fontId="7" fillId="0" borderId="127" xfId="0" applyFont="1" applyBorder="1" applyAlignment="1">
      <alignment horizontal="center" vertical="center" wrapText="1"/>
    </xf>
    <xf numFmtId="0" fontId="41" fillId="0" borderId="76" xfId="46" applyFont="1" applyBorder="1" applyAlignment="1">
      <alignment vertical="center" wrapText="1"/>
    </xf>
    <xf numFmtId="0" fontId="41" fillId="0" borderId="51" xfId="46" applyFont="1" applyBorder="1" applyAlignment="1">
      <alignment vertical="center" wrapText="1"/>
    </xf>
    <xf numFmtId="0" fontId="41" fillId="0" borderId="0" xfId="46" applyFont="1" applyAlignment="1">
      <alignment horizontal="center"/>
    </xf>
    <xf numFmtId="0" fontId="41" fillId="0" borderId="61" xfId="46" applyFont="1" applyBorder="1" applyAlignment="1">
      <alignment horizontal="left" vertical="center" wrapText="1" indent="1"/>
    </xf>
    <xf numFmtId="0" fontId="41" fillId="0" borderId="58" xfId="46" applyFont="1" applyBorder="1" applyAlignment="1">
      <alignment horizontal="left" vertical="center" wrapText="1" indent="1"/>
    </xf>
    <xf numFmtId="0" fontId="41" fillId="0" borderId="52" xfId="46" applyFont="1" applyBorder="1" applyAlignment="1">
      <alignment horizontal="left" vertical="center" wrapText="1"/>
    </xf>
    <xf numFmtId="0" fontId="41" fillId="0" borderId="55" xfId="46" applyFont="1" applyBorder="1" applyAlignment="1">
      <alignment horizontal="left" vertical="center" wrapText="1"/>
    </xf>
    <xf numFmtId="0" fontId="41" fillId="0" borderId="53" xfId="46" applyFont="1" applyBorder="1" applyAlignment="1">
      <alignment horizontal="left" vertical="center" wrapText="1"/>
    </xf>
    <xf numFmtId="0" fontId="41" fillId="0" borderId="47" xfId="46" applyFont="1" applyBorder="1" applyAlignment="1">
      <alignment horizontal="left" vertical="center" wrapText="1"/>
    </xf>
    <xf numFmtId="0" fontId="41" fillId="0" borderId="54" xfId="46" applyFont="1" applyBorder="1" applyAlignment="1">
      <alignment vertical="center" wrapText="1"/>
    </xf>
    <xf numFmtId="0" fontId="41" fillId="0" borderId="48" xfId="46" applyFont="1" applyBorder="1"/>
    <xf numFmtId="0" fontId="41" fillId="0" borderId="56" xfId="46" applyFont="1" applyBorder="1" applyAlignment="1">
      <alignment horizontal="left" vertical="center" wrapText="1"/>
    </xf>
    <xf numFmtId="0" fontId="41" fillId="0" borderId="60" xfId="46" applyFont="1" applyBorder="1" applyAlignment="1">
      <alignment horizontal="left" vertical="center" wrapText="1"/>
    </xf>
    <xf numFmtId="43" fontId="41" fillId="21" borderId="61" xfId="28" applyFont="1" applyFill="1" applyBorder="1" applyAlignment="1">
      <alignment horizontal="center" vertical="center"/>
    </xf>
    <xf numFmtId="43" fontId="41" fillId="21" borderId="51" xfId="28" applyFont="1" applyFill="1" applyBorder="1" applyAlignment="1">
      <alignment horizontal="center" vertical="center"/>
    </xf>
    <xf numFmtId="181" fontId="41" fillId="24" borderId="51" xfId="46" applyNumberFormat="1" applyFont="1" applyFill="1" applyBorder="1" applyAlignment="1">
      <alignment vertical="center" wrapText="1"/>
    </xf>
    <xf numFmtId="181" fontId="41" fillId="23" borderId="51" xfId="46" applyNumberFormat="1" applyFont="1" applyFill="1" applyBorder="1" applyAlignment="1">
      <alignment vertical="center" wrapText="1"/>
    </xf>
    <xf numFmtId="0" fontId="58" fillId="24" borderId="51" xfId="46" applyFont="1" applyFill="1" applyBorder="1" applyAlignment="1">
      <alignment horizontal="right" vertical="center" wrapText="1"/>
    </xf>
    <xf numFmtId="0" fontId="41" fillId="0" borderId="63" xfId="46" applyFont="1" applyBorder="1" applyAlignment="1">
      <alignment horizontal="left" vertical="center" wrapText="1"/>
    </xf>
    <xf numFmtId="0" fontId="41" fillId="0" borderId="64" xfId="46" applyFont="1" applyBorder="1" applyAlignment="1">
      <alignment horizontal="left" vertical="center" wrapText="1"/>
    </xf>
    <xf numFmtId="172" fontId="41" fillId="0" borderId="78" xfId="46" applyNumberFormat="1" applyFont="1" applyBorder="1" applyAlignment="1">
      <alignment horizontal="left" vertical="center" wrapText="1"/>
    </xf>
    <xf numFmtId="0" fontId="41" fillId="0" borderId="14" xfId="46" applyFont="1" applyBorder="1" applyAlignment="1">
      <alignment vertical="center" wrapText="1"/>
    </xf>
    <xf numFmtId="43" fontId="41" fillId="0" borderId="51" xfId="28" applyFont="1" applyFill="1" applyBorder="1" applyAlignment="1">
      <alignment horizontal="center" vertical="center"/>
    </xf>
    <xf numFmtId="43" fontId="41" fillId="0" borderId="71" xfId="28" applyFont="1" applyFill="1" applyBorder="1" applyAlignment="1">
      <alignment horizontal="center" vertical="center"/>
    </xf>
    <xf numFmtId="0" fontId="58" fillId="24" borderId="20" xfId="46" applyFont="1" applyFill="1" applyBorder="1" applyAlignment="1">
      <alignment horizontal="right" vertical="center" wrapText="1"/>
    </xf>
    <xf numFmtId="0" fontId="58" fillId="24" borderId="117" xfId="46" applyFont="1" applyFill="1" applyBorder="1" applyAlignment="1">
      <alignment horizontal="right" vertical="center" wrapText="1"/>
    </xf>
    <xf numFmtId="180" fontId="41" fillId="24" borderId="51" xfId="46" applyNumberFormat="1" applyFont="1" applyFill="1" applyBorder="1" applyAlignment="1">
      <alignment horizontal="left" vertical="center"/>
    </xf>
    <xf numFmtId="180" fontId="41" fillId="24" borderId="47" xfId="46" applyNumberFormat="1" applyFont="1" applyFill="1" applyBorder="1" applyAlignment="1">
      <alignment horizontal="left" vertical="center"/>
    </xf>
    <xf numFmtId="173" fontId="41" fillId="24" borderId="124" xfId="46" applyNumberFormat="1" applyFont="1" applyFill="1" applyBorder="1" applyAlignment="1">
      <alignment vertical="center"/>
    </xf>
    <xf numFmtId="173" fontId="41" fillId="24" borderId="123" xfId="46" applyNumberFormat="1" applyFont="1" applyFill="1" applyBorder="1" applyAlignment="1">
      <alignment vertical="center"/>
    </xf>
    <xf numFmtId="0" fontId="41" fillId="24" borderId="51" xfId="46" applyFont="1" applyFill="1" applyBorder="1" applyAlignment="1">
      <alignment vertical="center" wrapText="1"/>
    </xf>
    <xf numFmtId="0" fontId="41" fillId="24" borderId="47" xfId="46" applyFont="1" applyFill="1" applyBorder="1" applyAlignment="1">
      <alignment vertical="center" wrapText="1"/>
    </xf>
    <xf numFmtId="176" fontId="31" fillId="0" borderId="0" xfId="46" applyNumberFormat="1" applyFont="1" applyBorder="1" applyAlignment="1">
      <alignment vertical="center" wrapText="1"/>
    </xf>
    <xf numFmtId="165" fontId="31" fillId="0" borderId="101" xfId="50" applyNumberFormat="1" applyFont="1" applyBorder="1" applyAlignment="1">
      <alignment vertical="center"/>
    </xf>
    <xf numFmtId="165" fontId="31" fillId="0" borderId="102" xfId="50" applyNumberFormat="1" applyFont="1" applyBorder="1" applyAlignment="1">
      <alignment vertical="center"/>
    </xf>
    <xf numFmtId="165" fontId="31" fillId="0" borderId="103" xfId="50" applyNumberFormat="1" applyFont="1" applyBorder="1" applyAlignment="1">
      <alignment vertical="center"/>
    </xf>
  </cellXfs>
  <cellStyles count="63">
    <cellStyle name="20% - Accent1" xfId="60" builtinId="30"/>
    <cellStyle name="Accent1" xfId="1" builtinId="29" customBuiltin="1"/>
    <cellStyle name="Accent1 - 20%" xfId="2" xr:uid="{00000000-0005-0000-0000-000001000000}"/>
    <cellStyle name="Accent1 - 40%" xfId="3" xr:uid="{00000000-0005-0000-0000-000002000000}"/>
    <cellStyle name="Accent1 - 60%" xfId="4" xr:uid="{00000000-0005-0000-0000-000003000000}"/>
    <cellStyle name="Accent2" xfId="5" builtinId="33" customBuiltin="1"/>
    <cellStyle name="Accent2 - 20%" xfId="6" xr:uid="{00000000-0005-0000-0000-000005000000}"/>
    <cellStyle name="Accent2 - 40%" xfId="7" xr:uid="{00000000-0005-0000-0000-000006000000}"/>
    <cellStyle name="Accent2 - 60%" xfId="8" xr:uid="{00000000-0005-0000-0000-000007000000}"/>
    <cellStyle name="Accent3" xfId="9" builtinId="37" customBuiltin="1"/>
    <cellStyle name="Accent3 - 20%" xfId="10" xr:uid="{00000000-0005-0000-0000-000009000000}"/>
    <cellStyle name="Accent3 - 40%" xfId="11" xr:uid="{00000000-0005-0000-0000-00000A000000}"/>
    <cellStyle name="Accent3 - 60%" xfId="12" xr:uid="{00000000-0005-0000-0000-00000B000000}"/>
    <cellStyle name="Accent4" xfId="13" builtinId="41" customBuiltin="1"/>
    <cellStyle name="Accent4 - 20%" xfId="14" xr:uid="{00000000-0005-0000-0000-00000D000000}"/>
    <cellStyle name="Accent4 - 40%" xfId="15" xr:uid="{00000000-0005-0000-0000-00000E000000}"/>
    <cellStyle name="Accent4 - 60%" xfId="16" xr:uid="{00000000-0005-0000-0000-00000F000000}"/>
    <cellStyle name="Accent5" xfId="17" builtinId="45" customBuiltin="1"/>
    <cellStyle name="Accent5 - 20%" xfId="18" xr:uid="{00000000-0005-0000-0000-000011000000}"/>
    <cellStyle name="Accent5 - 40%" xfId="19" xr:uid="{00000000-0005-0000-0000-000012000000}"/>
    <cellStyle name="Accent5 - 60%" xfId="20" xr:uid="{00000000-0005-0000-0000-000013000000}"/>
    <cellStyle name="Accent6" xfId="21" builtinId="49" customBuiltin="1"/>
    <cellStyle name="Accent6 - 20%" xfId="22" xr:uid="{00000000-0005-0000-0000-000015000000}"/>
    <cellStyle name="Accent6 - 40%" xfId="23" xr:uid="{00000000-0005-0000-0000-000016000000}"/>
    <cellStyle name="Accent6 - 60%" xfId="24" xr:uid="{00000000-0005-0000-0000-000017000000}"/>
    <cellStyle name="Bad" xfId="25" builtinId="27" customBuiltin="1"/>
    <cellStyle name="Calculation" xfId="26" builtinId="22" customBuiltin="1"/>
    <cellStyle name="Check Cell" xfId="27" builtinId="23" customBuiltin="1"/>
    <cellStyle name="Comma" xfId="28" builtinId="3"/>
    <cellStyle name="Comma 2" xfId="47" xr:uid="{00000000-0005-0000-0000-00001C000000}"/>
    <cellStyle name="Comma 2 2" xfId="50" xr:uid="{00000000-0005-0000-0000-00001D000000}"/>
    <cellStyle name="Comma 2 3" xfId="57" xr:uid="{5AEC169F-5E0B-4FAD-9C72-917965AF7AD8}"/>
    <cellStyle name="Comma 3" xfId="51" xr:uid="{6452B4B5-9044-4B53-9E7B-B9FC62E07CD2}"/>
    <cellStyle name="Comma 3 2" xfId="55" xr:uid="{71D52E3E-39EC-4780-AD1C-E077E1E24B8F}"/>
    <cellStyle name="Comma 4" xfId="58" xr:uid="{A8A7E88C-8CC6-4813-B415-2A91CCC09EE1}"/>
    <cellStyle name="Comma 4 2" xfId="61" xr:uid="{82BB47F8-FEA9-4488-9173-57FDF8E76131}"/>
    <cellStyle name="Comma 5" xfId="59" xr:uid="{E6272B3E-7713-4E2D-BADE-85C58266E528}"/>
    <cellStyle name="Emphasis 1" xfId="29" xr:uid="{00000000-0005-0000-0000-00001E000000}"/>
    <cellStyle name="Emphasis 2" xfId="30" xr:uid="{00000000-0005-0000-0000-00001F000000}"/>
    <cellStyle name="Emphasis 3" xfId="31" xr:uid="{00000000-0005-0000-0000-000020000000}"/>
    <cellStyle name="Followed Hyperlink" xfId="49" builtinId="9"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ustomBuiltin="1"/>
    <cellStyle name="Input" xfId="38" builtinId="20" customBuiltin="1"/>
    <cellStyle name="Linked Cell" xfId="39" builtinId="24" customBuiltin="1"/>
    <cellStyle name="Neutral" xfId="40" builtinId="28" customBuiltin="1"/>
    <cellStyle name="Normal" xfId="0" builtinId="0"/>
    <cellStyle name="Normal 2" xfId="46" xr:uid="{00000000-0005-0000-0000-00002C000000}"/>
    <cellStyle name="Normal 3" xfId="48" xr:uid="{00000000-0005-0000-0000-00002D000000}"/>
    <cellStyle name="Normal 4" xfId="52" xr:uid="{94369544-209A-44D2-AF0E-A4F40FF16B57}"/>
    <cellStyle name="Normal 4 2" xfId="53" xr:uid="{62463D25-4A3E-4310-BEA9-49A1F9EB282F}"/>
    <cellStyle name="Normal 5" xfId="56" xr:uid="{03BC288A-87FC-4FE6-B731-D66A182A6423}"/>
    <cellStyle name="Normal 8" xfId="54" xr:uid="{C840CEAE-97E2-4DE1-A00C-04264D1C447C}"/>
    <cellStyle name="Note" xfId="41" builtinId="10" customBuiltin="1"/>
    <cellStyle name="Output" xfId="42" builtinId="21" customBuiltin="1"/>
    <cellStyle name="Percent 2" xfId="62" xr:uid="{E9CCB8BE-A17F-4C7E-9D30-FAB851285B60}"/>
    <cellStyle name="Sheet Title" xfId="43" xr:uid="{00000000-0005-0000-0000-000030000000}"/>
    <cellStyle name="Total" xfId="44" builtinId="25" customBuiltin="1"/>
    <cellStyle name="Warning Text" xfId="45" builtinId="11" customBuiltin="1"/>
  </cellStyles>
  <dxfs count="2">
    <dxf>
      <border outline="0">
        <left style="thin">
          <color indexed="64"/>
        </left>
      </border>
    </dxf>
    <dxf>
      <border outline="0">
        <bottom style="thin">
          <color indexed="64"/>
        </bottom>
      </border>
    </dxf>
  </dxfs>
  <tableStyles count="0" defaultTableStyle="TableStyleMedium9" defaultPivotStyle="PivotStyleLight16"/>
  <colors>
    <mruColors>
      <color rgb="FFCCFF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8.svg"/><Relationship Id="rId18" Type="http://schemas.openxmlformats.org/officeDocument/2006/relationships/image" Target="../media/image12.png"/><Relationship Id="rId3" Type="http://schemas.openxmlformats.org/officeDocument/2006/relationships/hyperlink" Target="#'Asset Register'!A1"/><Relationship Id="rId21" Type="http://schemas.openxmlformats.org/officeDocument/2006/relationships/image" Target="../media/image14.png"/><Relationship Id="rId7" Type="http://schemas.openxmlformats.org/officeDocument/2006/relationships/image" Target="../media/image4.png"/><Relationship Id="rId12" Type="http://schemas.openxmlformats.org/officeDocument/2006/relationships/image" Target="../media/image7.png"/><Relationship Id="rId17" Type="http://schemas.openxmlformats.org/officeDocument/2006/relationships/image" Target="../media/image11.svg"/><Relationship Id="rId2" Type="http://schemas.openxmlformats.org/officeDocument/2006/relationships/image" Target="../media/image1.png"/><Relationship Id="rId16" Type="http://schemas.openxmlformats.org/officeDocument/2006/relationships/image" Target="../media/image10.png"/><Relationship Id="rId20" Type="http://schemas.openxmlformats.org/officeDocument/2006/relationships/hyperlink" Target="#Balances!A1"/><Relationship Id="rId1" Type="http://schemas.openxmlformats.org/officeDocument/2006/relationships/hyperlink" Target="#'Cash flow'!A1"/><Relationship Id="rId6" Type="http://schemas.openxmlformats.org/officeDocument/2006/relationships/hyperlink" Target="#'Variances '!A1"/><Relationship Id="rId11" Type="http://schemas.openxmlformats.org/officeDocument/2006/relationships/hyperlink" Target="#Receipts!A1"/><Relationship Id="rId5" Type="http://schemas.openxmlformats.org/officeDocument/2006/relationships/image" Target="../media/image3.svg"/><Relationship Id="rId15" Type="http://schemas.openxmlformats.org/officeDocument/2006/relationships/hyperlink" Target="#Payments!A1"/><Relationship Id="rId10" Type="http://schemas.openxmlformats.org/officeDocument/2006/relationships/image" Target="../media/image6.jpeg"/><Relationship Id="rId19" Type="http://schemas.openxmlformats.org/officeDocument/2006/relationships/image" Target="../media/image13.svg"/><Relationship Id="rId4" Type="http://schemas.openxmlformats.org/officeDocument/2006/relationships/image" Target="../media/image2.png"/><Relationship Id="rId9" Type="http://schemas.openxmlformats.org/officeDocument/2006/relationships/hyperlink" Target="#'Audit reconciliation'!A1"/><Relationship Id="rId14" Type="http://schemas.openxmlformats.org/officeDocument/2006/relationships/image" Target="../media/image9.emf"/><Relationship Id="rId22" Type="http://schemas.openxmlformats.org/officeDocument/2006/relationships/image" Target="../media/image15.svg"/></Relationships>
</file>

<file path=xl/drawings/_rels/drawing2.xml.rels><?xml version="1.0" encoding="UTF-8" standalone="yes"?>
<Relationships xmlns="http://schemas.openxmlformats.org/package/2006/relationships"><Relationship Id="rId3" Type="http://schemas.openxmlformats.org/officeDocument/2006/relationships/image" Target="../media/image16.svg"/><Relationship Id="rId2" Type="http://schemas.openxmlformats.org/officeDocument/2006/relationships/image" Target="../media/image12.png"/><Relationship Id="rId1" Type="http://schemas.openxmlformats.org/officeDocument/2006/relationships/hyperlink" Target="#Summary!A1"/><Relationship Id="rId4" Type="http://schemas.openxmlformats.org/officeDocument/2006/relationships/image" Target="../media/image1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9.svg"/><Relationship Id="rId2" Type="http://schemas.openxmlformats.org/officeDocument/2006/relationships/image" Target="../media/image18.png"/><Relationship Id="rId1" Type="http://schemas.openxmlformats.org/officeDocument/2006/relationships/hyperlink" Target="#Summary!A1"/><Relationship Id="rId5" Type="http://schemas.openxmlformats.org/officeDocument/2006/relationships/image" Target="../media/image16.sv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1.svg"/><Relationship Id="rId2" Type="http://schemas.openxmlformats.org/officeDocument/2006/relationships/image" Target="../media/image20.png"/><Relationship Id="rId1" Type="http://schemas.openxmlformats.org/officeDocument/2006/relationships/hyperlink" Target="#Summary!A1"/></Relationships>
</file>

<file path=xl/drawings/_rels/drawing5.xml.rels><?xml version="1.0" encoding="UTF-8" standalone="yes"?>
<Relationships xmlns="http://schemas.openxmlformats.org/package/2006/relationships"><Relationship Id="rId3" Type="http://schemas.openxmlformats.org/officeDocument/2006/relationships/image" Target="../media/image21.svg"/><Relationship Id="rId2" Type="http://schemas.openxmlformats.org/officeDocument/2006/relationships/image" Target="../media/image20.png"/><Relationship Id="rId1" Type="http://schemas.openxmlformats.org/officeDocument/2006/relationships/hyperlink" Target="#Summary!A1"/></Relationships>
</file>

<file path=xl/drawings/_rels/drawing6.xml.rels><?xml version="1.0" encoding="UTF-8" standalone="yes"?>
<Relationships xmlns="http://schemas.openxmlformats.org/package/2006/relationships"><Relationship Id="rId3" Type="http://schemas.openxmlformats.org/officeDocument/2006/relationships/image" Target="../media/image21.svg"/><Relationship Id="rId2" Type="http://schemas.openxmlformats.org/officeDocument/2006/relationships/image" Target="../media/image20.png"/><Relationship Id="rId1" Type="http://schemas.openxmlformats.org/officeDocument/2006/relationships/hyperlink" Target="#Summary!A1"/></Relationships>
</file>

<file path=xl/drawings/_rels/drawing7.xml.rels><?xml version="1.0" encoding="UTF-8" standalone="yes"?>
<Relationships xmlns="http://schemas.openxmlformats.org/package/2006/relationships"><Relationship Id="rId3" Type="http://schemas.openxmlformats.org/officeDocument/2006/relationships/image" Target="../media/image21.svg"/><Relationship Id="rId2" Type="http://schemas.openxmlformats.org/officeDocument/2006/relationships/image" Target="../media/image20.png"/><Relationship Id="rId1" Type="http://schemas.openxmlformats.org/officeDocument/2006/relationships/hyperlink" Target="#Summary!A1"/></Relationships>
</file>

<file path=xl/drawings/_rels/drawing8.xml.rels><?xml version="1.0" encoding="UTF-8" standalone="yes"?>
<Relationships xmlns="http://schemas.openxmlformats.org/package/2006/relationships"><Relationship Id="rId3" Type="http://schemas.openxmlformats.org/officeDocument/2006/relationships/image" Target="../media/image21.svg"/><Relationship Id="rId2" Type="http://schemas.openxmlformats.org/officeDocument/2006/relationships/image" Target="../media/image20.png"/><Relationship Id="rId1" Type="http://schemas.openxmlformats.org/officeDocument/2006/relationships/hyperlink" Target="#Summary!A1"/></Relationships>
</file>

<file path=xl/drawings/_rels/drawing9.xml.rels><?xml version="1.0" encoding="UTF-8" standalone="yes"?>
<Relationships xmlns="http://schemas.openxmlformats.org/package/2006/relationships"><Relationship Id="rId3" Type="http://schemas.openxmlformats.org/officeDocument/2006/relationships/image" Target="../media/image19.svg"/><Relationship Id="rId2" Type="http://schemas.openxmlformats.org/officeDocument/2006/relationships/image" Target="../media/image18.png"/><Relationship Id="rId1" Type="http://schemas.openxmlformats.org/officeDocument/2006/relationships/hyperlink" Target="#Summary!A1"/><Relationship Id="rId5" Type="http://schemas.openxmlformats.org/officeDocument/2006/relationships/image" Target="../media/image16.sv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17</xdr:col>
      <xdr:colOff>314325</xdr:colOff>
      <xdr:row>1</xdr:row>
      <xdr:rowOff>50800</xdr:rowOff>
    </xdr:from>
    <xdr:to>
      <xdr:col>17</xdr:col>
      <xdr:colOff>438150</xdr:colOff>
      <xdr:row>1</xdr:row>
      <xdr:rowOff>174625</xdr:rowOff>
    </xdr:to>
    <xdr:pic>
      <xdr:nvPicPr>
        <xdr:cNvPr id="7" name="Picture 7" descr="j0433807">
          <a:hlinkClick xmlns:r="http://schemas.openxmlformats.org/officeDocument/2006/relationships" r:id="rId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77525" y="2413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590550</xdr:colOff>
      <xdr:row>7</xdr:row>
      <xdr:rowOff>138916</xdr:rowOff>
    </xdr:from>
    <xdr:to>
      <xdr:col>12</xdr:col>
      <xdr:colOff>551447</xdr:colOff>
      <xdr:row>9</xdr:row>
      <xdr:rowOff>214113</xdr:rowOff>
    </xdr:to>
    <xdr:pic>
      <xdr:nvPicPr>
        <xdr:cNvPr id="9" name="Picture 10" descr="Gold bars with solid fill">
          <a:hlinkClick xmlns:r="http://schemas.openxmlformats.org/officeDocument/2006/relationships" r:id="rId3"/>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a:stretch/>
      </xdr:blipFill>
      <xdr:spPr bwMode="auto">
        <a:xfrm>
          <a:off x="7343775" y="2224891"/>
          <a:ext cx="570497" cy="570497"/>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91027</xdr:colOff>
      <xdr:row>9</xdr:row>
      <xdr:rowOff>244405</xdr:rowOff>
    </xdr:from>
    <xdr:to>
      <xdr:col>12</xdr:col>
      <xdr:colOff>575722</xdr:colOff>
      <xdr:row>11</xdr:row>
      <xdr:rowOff>233800</xdr:rowOff>
    </xdr:to>
    <xdr:pic>
      <xdr:nvPicPr>
        <xdr:cNvPr id="10" name="Picture 11" descr="Supply And Demand with solid fill">
          <a:hlinkClick xmlns:r="http://schemas.openxmlformats.org/officeDocument/2006/relationships" r:id="rId6"/>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rcRect/>
        <a:stretch/>
      </xdr:blipFill>
      <xdr:spPr bwMode="auto">
        <a:xfrm>
          <a:off x="7453852" y="2825680"/>
          <a:ext cx="484695" cy="484695"/>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76200</xdr:colOff>
      <xdr:row>1</xdr:row>
      <xdr:rowOff>38099</xdr:rowOff>
    </xdr:from>
    <xdr:to>
      <xdr:col>11</xdr:col>
      <xdr:colOff>76200</xdr:colOff>
      <xdr:row>2</xdr:row>
      <xdr:rowOff>428624</xdr:rowOff>
    </xdr:to>
    <xdr:sp macro="" textlink="">
      <xdr:nvSpPr>
        <xdr:cNvPr id="11" name="Text Box 12">
          <a:extLst>
            <a:ext uri="{FF2B5EF4-FFF2-40B4-BE49-F238E27FC236}">
              <a16:creationId xmlns:a16="http://schemas.microsoft.com/office/drawing/2014/main" id="{00000000-0008-0000-0000-00000B000000}"/>
            </a:ext>
          </a:extLst>
        </xdr:cNvPr>
        <xdr:cNvSpPr txBox="1">
          <a:spLocks noChangeArrowheads="1"/>
        </xdr:cNvSpPr>
      </xdr:nvSpPr>
      <xdr:spPr bwMode="auto">
        <a:xfrm>
          <a:off x="1295400" y="228599"/>
          <a:ext cx="5534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lnSpc>
              <a:spcPts val="1700"/>
            </a:lnSpc>
            <a:defRPr sz="1000"/>
          </a:pPr>
          <a:r>
            <a:rPr lang="en-GB" sz="1800" b="0" i="0" u="none" strike="noStrike" baseline="0">
              <a:solidFill>
                <a:srgbClr val="000080"/>
              </a:solidFill>
              <a:latin typeface="Franklin Gothic Book"/>
            </a:rPr>
            <a:t>Nassington Parish Council </a:t>
          </a:r>
        </a:p>
        <a:p>
          <a:pPr algn="ctr" rtl="0">
            <a:lnSpc>
              <a:spcPts val="1700"/>
            </a:lnSpc>
            <a:defRPr sz="1000"/>
          </a:pPr>
          <a:r>
            <a:rPr lang="en-GB" sz="1800" b="0" i="0" u="none" strike="noStrike" baseline="0">
              <a:solidFill>
                <a:srgbClr val="000080"/>
              </a:solidFill>
              <a:latin typeface="Franklin Gothic Book"/>
            </a:rPr>
            <a:t>Accounts From 1 Apr 22 - 31 Mar 23</a:t>
          </a:r>
        </a:p>
        <a:p>
          <a:pPr algn="ctr" rtl="0">
            <a:lnSpc>
              <a:spcPts val="1200"/>
            </a:lnSpc>
            <a:defRPr sz="1000"/>
          </a:pPr>
          <a:endParaRPr lang="en-GB" sz="1200" b="0" i="0" u="none" strike="noStrike" baseline="0">
            <a:solidFill>
              <a:srgbClr val="000000"/>
            </a:solidFill>
            <a:latin typeface="Times New Roman"/>
            <a:cs typeface="Times New Roman"/>
          </a:endParaRPr>
        </a:p>
        <a:p>
          <a:pPr algn="ctr" rtl="0">
            <a:lnSpc>
              <a:spcPts val="1100"/>
            </a:lnSpc>
            <a:defRPr sz="1000"/>
          </a:pPr>
          <a:endParaRPr lang="en-GB" sz="1200" b="0" i="0" u="none" strike="noStrike" baseline="0">
            <a:solidFill>
              <a:srgbClr val="000000"/>
            </a:solidFill>
            <a:latin typeface="Times New Roman"/>
            <a:cs typeface="Times New Roman"/>
          </a:endParaRPr>
        </a:p>
      </xdr:txBody>
    </xdr:sp>
    <xdr:clientData/>
  </xdr:twoCellAnchor>
  <xdr:twoCellAnchor editAs="oneCell">
    <xdr:from>
      <xdr:col>17</xdr:col>
      <xdr:colOff>232601</xdr:colOff>
      <xdr:row>2</xdr:row>
      <xdr:rowOff>41275</xdr:rowOff>
    </xdr:from>
    <xdr:to>
      <xdr:col>17</xdr:col>
      <xdr:colOff>337497</xdr:colOff>
      <xdr:row>2</xdr:row>
      <xdr:rowOff>114301</xdr:rowOff>
    </xdr:to>
    <xdr:pic>
      <xdr:nvPicPr>
        <xdr:cNvPr id="14" name="Picture 8">
          <a:hlinkClick xmlns:r="http://schemas.openxmlformats.org/officeDocument/2006/relationships" r:id="rId9" tooltip="Click for working for audit annual statement of accounts "/>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595801" y="422275"/>
          <a:ext cx="104896" cy="73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600075</xdr:colOff>
      <xdr:row>6</xdr:row>
      <xdr:rowOff>142875</xdr:rowOff>
    </xdr:from>
    <xdr:to>
      <xdr:col>4</xdr:col>
      <xdr:colOff>509058</xdr:colOff>
      <xdr:row>8</xdr:row>
      <xdr:rowOff>158630</xdr:rowOff>
    </xdr:to>
    <xdr:pic>
      <xdr:nvPicPr>
        <xdr:cNvPr id="16" name="Graphic 15" descr="Register">
          <a:hlinkClick xmlns:r="http://schemas.openxmlformats.org/officeDocument/2006/relationships" r:id="rId11"/>
          <a:extLst>
            <a:ext uri="{FF2B5EF4-FFF2-40B4-BE49-F238E27FC236}">
              <a16:creationId xmlns:a16="http://schemas.microsoft.com/office/drawing/2014/main" id="{BCF36F60-6E1B-4C26-A37E-7441E006C52D}"/>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2428875" y="1981200"/>
          <a:ext cx="518583" cy="511055"/>
        </a:xfrm>
        <a:prstGeom prst="rect">
          <a:avLst/>
        </a:prstGeom>
      </xdr:spPr>
    </xdr:pic>
    <xdr:clientData/>
  </xdr:twoCellAnchor>
  <xdr:twoCellAnchor editAs="oneCell">
    <xdr:from>
      <xdr:col>4</xdr:col>
      <xdr:colOff>600075</xdr:colOff>
      <xdr:row>25</xdr:row>
      <xdr:rowOff>38100</xdr:rowOff>
    </xdr:from>
    <xdr:to>
      <xdr:col>6</xdr:col>
      <xdr:colOff>285750</xdr:colOff>
      <xdr:row>26</xdr:row>
      <xdr:rowOff>85725</xdr:rowOff>
    </xdr:to>
    <xdr:pic>
      <xdr:nvPicPr>
        <xdr:cNvPr id="17" name="Picture 16">
          <a:extLst>
            <a:ext uri="{FF2B5EF4-FFF2-40B4-BE49-F238E27FC236}">
              <a16:creationId xmlns:a16="http://schemas.microsoft.com/office/drawing/2014/main" id="{DA9B1A48-3FCF-4AD6-8F5E-13199286916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038475" y="6315075"/>
          <a:ext cx="9048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552450</xdr:colOff>
      <xdr:row>8</xdr:row>
      <xdr:rowOff>114300</xdr:rowOff>
    </xdr:from>
    <xdr:to>
      <xdr:col>4</xdr:col>
      <xdr:colOff>482601</xdr:colOff>
      <xdr:row>10</xdr:row>
      <xdr:rowOff>158751</xdr:rowOff>
    </xdr:to>
    <xdr:pic>
      <xdr:nvPicPr>
        <xdr:cNvPr id="18" name="Graphic 17" descr="Shopping cart">
          <a:hlinkClick xmlns:r="http://schemas.openxmlformats.org/officeDocument/2006/relationships" r:id="rId15"/>
          <a:extLst>
            <a:ext uri="{FF2B5EF4-FFF2-40B4-BE49-F238E27FC236}">
              <a16:creationId xmlns:a16="http://schemas.microsoft.com/office/drawing/2014/main" id="{27B5EC0C-A676-4F2F-AC4C-66FC0ACF484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2381250" y="2447925"/>
          <a:ext cx="539751" cy="539751"/>
        </a:xfrm>
        <a:prstGeom prst="rect">
          <a:avLst/>
        </a:prstGeom>
      </xdr:spPr>
    </xdr:pic>
    <xdr:clientData/>
  </xdr:twoCellAnchor>
  <xdr:twoCellAnchor editAs="oneCell">
    <xdr:from>
      <xdr:col>7</xdr:col>
      <xdr:colOff>238125</xdr:colOff>
      <xdr:row>13</xdr:row>
      <xdr:rowOff>38100</xdr:rowOff>
    </xdr:from>
    <xdr:to>
      <xdr:col>8</xdr:col>
      <xdr:colOff>274108</xdr:colOff>
      <xdr:row>15</xdr:row>
      <xdr:rowOff>188383</xdr:rowOff>
    </xdr:to>
    <xdr:pic>
      <xdr:nvPicPr>
        <xdr:cNvPr id="19" name="Graphic 18" descr="House">
          <a:extLst>
            <a:ext uri="{FF2B5EF4-FFF2-40B4-BE49-F238E27FC236}">
              <a16:creationId xmlns:a16="http://schemas.microsoft.com/office/drawing/2014/main" id="{B574C8A3-A597-4E61-A120-182A70779E65}"/>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4505325" y="3857625"/>
          <a:ext cx="645583" cy="645583"/>
        </a:xfrm>
        <a:prstGeom prst="rect">
          <a:avLst/>
        </a:prstGeom>
      </xdr:spPr>
    </xdr:pic>
    <xdr:clientData/>
  </xdr:twoCellAnchor>
  <xdr:twoCellAnchor editAs="oneCell">
    <xdr:from>
      <xdr:col>4</xdr:col>
      <xdr:colOff>28575</xdr:colOff>
      <xdr:row>10</xdr:row>
      <xdr:rowOff>171450</xdr:rowOff>
    </xdr:from>
    <xdr:to>
      <xdr:col>4</xdr:col>
      <xdr:colOff>515408</xdr:colOff>
      <xdr:row>12</xdr:row>
      <xdr:rowOff>162983</xdr:rowOff>
    </xdr:to>
    <xdr:pic>
      <xdr:nvPicPr>
        <xdr:cNvPr id="20" name="Graphic 19" descr="Pound">
          <a:hlinkClick xmlns:r="http://schemas.openxmlformats.org/officeDocument/2006/relationships" r:id="rId20"/>
          <a:extLst>
            <a:ext uri="{FF2B5EF4-FFF2-40B4-BE49-F238E27FC236}">
              <a16:creationId xmlns:a16="http://schemas.microsoft.com/office/drawing/2014/main" id="{8B693A3C-FB33-4BDA-9A0A-C239D74DCE9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2466975" y="3000375"/>
          <a:ext cx="486833" cy="4868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133350</xdr:colOff>
      <xdr:row>0</xdr:row>
      <xdr:rowOff>9525</xdr:rowOff>
    </xdr:from>
    <xdr:to>
      <xdr:col>5</xdr:col>
      <xdr:colOff>1095375</xdr:colOff>
      <xdr:row>1</xdr:row>
      <xdr:rowOff>19050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742950" y="9525"/>
          <a:ext cx="6515100" cy="1714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GB" sz="1100" b="0" i="0" u="none" strike="noStrike" baseline="0">
              <a:solidFill>
                <a:srgbClr val="000000"/>
              </a:solidFill>
              <a:latin typeface="Arial"/>
              <a:cs typeface="Arial"/>
            </a:rPr>
            <a:t>Invoice details</a:t>
          </a:r>
          <a:endParaRPr lang="en-GB" sz="1000" b="0" i="0" u="none" strike="noStrike" baseline="0">
            <a:solidFill>
              <a:srgbClr val="000000"/>
            </a:solidFill>
            <a:latin typeface="Arial"/>
            <a:cs typeface="Arial"/>
          </a:endParaRPr>
        </a:p>
        <a:p>
          <a:pPr algn="ctr" rtl="0">
            <a:defRPr sz="1000"/>
          </a:pPr>
          <a:endParaRPr lang="en-GB" sz="1000" b="0" i="0" u="none" strike="noStrike" baseline="0">
            <a:solidFill>
              <a:srgbClr val="000000"/>
            </a:solidFill>
            <a:latin typeface="Arial"/>
            <a:cs typeface="Arial"/>
          </a:endParaRPr>
        </a:p>
        <a:p>
          <a:pPr algn="ctr" rtl="0">
            <a:defRPr sz="1000"/>
          </a:pPr>
          <a:endParaRPr lang="en-GB" sz="1000" b="0" i="0" u="none" strike="noStrike" baseline="0">
            <a:solidFill>
              <a:srgbClr val="000000"/>
            </a:solidFill>
            <a:latin typeface="Arial"/>
            <a:cs typeface="Arial"/>
          </a:endParaRPr>
        </a:p>
      </xdr:txBody>
    </xdr:sp>
    <xdr:clientData/>
  </xdr:twoCellAnchor>
  <xdr:twoCellAnchor>
    <xdr:from>
      <xdr:col>1</xdr:col>
      <xdr:colOff>114300</xdr:colOff>
      <xdr:row>2</xdr:row>
      <xdr:rowOff>0</xdr:rowOff>
    </xdr:from>
    <xdr:to>
      <xdr:col>6</xdr:col>
      <xdr:colOff>9525</xdr:colOff>
      <xdr:row>5</xdr:row>
      <xdr:rowOff>57150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723900" y="219075"/>
          <a:ext cx="664845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50" b="0" i="0" u="none" strike="noStrike" baseline="0">
              <a:solidFill>
                <a:srgbClr val="000000"/>
              </a:solidFill>
              <a:latin typeface="Arial"/>
              <a:cs typeface="Arial"/>
            </a:rPr>
            <a:t>On 1 April 2000 a three year time limit for claiming VAT refunds was introduced. From that date any VAT incurred on goods and services received more than three years after the end of the month in which you received them cannot be refunded; paragraph 12.3 of Notice 749 (April 2002 version) refers.</a:t>
          </a:r>
        </a:p>
      </xdr:txBody>
    </xdr:sp>
    <xdr:clientData/>
  </xdr:twoCellAnchor>
  <xdr:twoCellAnchor>
    <xdr:from>
      <xdr:col>1</xdr:col>
      <xdr:colOff>114300</xdr:colOff>
      <xdr:row>47</xdr:row>
      <xdr:rowOff>276225</xdr:rowOff>
    </xdr:from>
    <xdr:to>
      <xdr:col>5</xdr:col>
      <xdr:colOff>1181100</xdr:colOff>
      <xdr:row>48</xdr:row>
      <xdr:rowOff>219075</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723900" y="7791450"/>
          <a:ext cx="6619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Arial"/>
              <a:cs typeface="Arial"/>
            </a:rPr>
            <a:t>I, </a:t>
          </a:r>
          <a:r>
            <a:rPr lang="en-GB" sz="1200" b="1" i="0" u="none" strike="noStrike" baseline="0">
              <a:solidFill>
                <a:srgbClr val="000000"/>
              </a:solidFill>
              <a:latin typeface="Arial"/>
              <a:cs typeface="Arial"/>
            </a:rPr>
            <a:t>Sarah Jane Rodger (Clerk &amp; RFO)</a:t>
          </a:r>
        </a:p>
      </xdr:txBody>
    </xdr:sp>
    <xdr:clientData/>
  </xdr:twoCellAnchor>
  <xdr:twoCellAnchor>
    <xdr:from>
      <xdr:col>1</xdr:col>
      <xdr:colOff>66675</xdr:colOff>
      <xdr:row>50</xdr:row>
      <xdr:rowOff>76200</xdr:rowOff>
    </xdr:from>
    <xdr:to>
      <xdr:col>5</xdr:col>
      <xdr:colOff>1162050</xdr:colOff>
      <xdr:row>54</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676275" y="8296275"/>
          <a:ext cx="6648450" cy="952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980" b="0" i="0" u="none" strike="noStrike" baseline="0">
              <a:solidFill>
                <a:srgbClr val="000000"/>
              </a:solidFill>
              <a:latin typeface="Arial"/>
              <a:cs typeface="Arial"/>
            </a:rPr>
            <a:t>which is the VAT charged on goods and services bought for non-business activities. *The tax claimed includes VAT incurred for exempt business activities which can be reclaimed under paragraph 5.5 of Notice 749 (April 2002).</a:t>
          </a:r>
        </a:p>
        <a:p>
          <a:pPr algn="l" rtl="0">
            <a:defRPr sz="1000"/>
          </a:pPr>
          <a:r>
            <a:rPr lang="en-GB" sz="980" b="0" i="0" u="none" strike="noStrike" baseline="0">
              <a:solidFill>
                <a:srgbClr val="000000"/>
              </a:solidFill>
              <a:latin typeface="Arial"/>
              <a:cs typeface="Arial"/>
            </a:rPr>
            <a:t>The body named above makes no taxable supplies and is not registered for VAT, if requested I will produce tax invoices to support this claim.</a:t>
          </a:r>
        </a:p>
        <a:p>
          <a:pPr algn="l" rtl="0">
            <a:defRPr sz="1000"/>
          </a:pPr>
          <a:r>
            <a:rPr lang="en-GB" sz="980" b="0" i="0" u="none" strike="noStrike" baseline="0">
              <a:solidFill>
                <a:srgbClr val="000000"/>
              </a:solidFill>
              <a:latin typeface="Arial"/>
              <a:cs typeface="Arial"/>
            </a:rPr>
            <a:t>Signature  ..................................................................................................     Date  .........................................</a:t>
          </a:r>
        </a:p>
        <a:p>
          <a:pPr algn="l" rtl="0">
            <a:defRPr sz="1000"/>
          </a:pPr>
          <a:r>
            <a:rPr lang="en-GB" sz="980" b="0" i="0" u="none" strike="noStrike" baseline="0">
              <a:solidFill>
                <a:srgbClr val="000000"/>
              </a:solidFill>
              <a:latin typeface="Arial"/>
              <a:cs typeface="Arial"/>
            </a:rPr>
            <a:t>               (Designated responsible officer) </a:t>
          </a:r>
        </a:p>
        <a:p>
          <a:pPr algn="l" rtl="0">
            <a:defRPr sz="1000"/>
          </a:pPr>
          <a:r>
            <a:rPr lang="en-GB" sz="980" b="0" i="0" u="none" strike="noStrike" baseline="0">
              <a:solidFill>
                <a:srgbClr val="000000"/>
              </a:solidFill>
              <a:latin typeface="Arial"/>
              <a:cs typeface="Arial"/>
            </a:rPr>
            <a:t>*Delete as appropriate</a:t>
          </a:r>
        </a:p>
      </xdr:txBody>
    </xdr:sp>
    <xdr:clientData/>
  </xdr:twoCellAnchor>
  <xdr:twoCellAnchor>
    <xdr:from>
      <xdr:col>1</xdr:col>
      <xdr:colOff>38100</xdr:colOff>
      <xdr:row>54</xdr:row>
      <xdr:rowOff>19050</xdr:rowOff>
    </xdr:from>
    <xdr:to>
      <xdr:col>5</xdr:col>
      <xdr:colOff>1143000</xdr:colOff>
      <xdr:row>57</xdr:row>
      <xdr:rowOff>76200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47700" y="9267825"/>
          <a:ext cx="6657975" cy="857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950" b="0" i="0" u="none" strike="noStrike" baseline="0">
              <a:solidFill>
                <a:srgbClr val="000000"/>
              </a:solidFill>
              <a:latin typeface="Arial"/>
              <a:cs typeface="Arial"/>
            </a:rPr>
            <a:t>                                                                    Data Protection Act 1998</a:t>
          </a:r>
        </a:p>
        <a:p>
          <a:pPr algn="l" rtl="0">
            <a:defRPr sz="1000"/>
          </a:pPr>
          <a:r>
            <a:rPr lang="en-GB" sz="950" b="0" i="0" u="none" strike="noStrike" baseline="0">
              <a:solidFill>
                <a:srgbClr val="000000"/>
              </a:solidFill>
              <a:latin typeface="Arial"/>
              <a:cs typeface="Arial"/>
            </a:rPr>
            <a:t>HM Revenue &amp; Customs collects information in order to administer the taxes for which it is responsible (such as VAT, insurance premium tax, excise duties, air passenger duty, landfill tax), and for detecting and preventing crime.</a:t>
          </a:r>
        </a:p>
        <a:p>
          <a:pPr algn="l" rtl="0">
            <a:defRPr sz="1000"/>
          </a:pPr>
          <a:r>
            <a:rPr lang="en-GB" sz="950" b="0" i="0" u="none" strike="noStrike" baseline="0">
              <a:solidFill>
                <a:srgbClr val="000000"/>
              </a:solidFill>
              <a:latin typeface="Arial"/>
              <a:cs typeface="Arial"/>
            </a:rPr>
            <a:t>Where the law permits we may also get information about you from third parties, or give information to them, for example in order to check its accuracy, prevent or detect crime or protect public funds in other ways. These third parties may include the police, other government departments and agencies</a:t>
          </a:r>
          <a:r>
            <a:rPr lang="en-GB" sz="1000" b="0" i="0" u="none" strike="noStrike" baseline="0">
              <a:solidFill>
                <a:srgbClr val="000000"/>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416983</xdr:colOff>
      <xdr:row>3</xdr:row>
      <xdr:rowOff>74083</xdr:rowOff>
    </xdr:to>
    <xdr:pic>
      <xdr:nvPicPr>
        <xdr:cNvPr id="3" name="Graphic 2" descr="House">
          <a:hlinkClick xmlns:r="http://schemas.openxmlformats.org/officeDocument/2006/relationships" r:id="rId1"/>
          <a:extLst>
            <a:ext uri="{FF2B5EF4-FFF2-40B4-BE49-F238E27FC236}">
              <a16:creationId xmlns:a16="http://schemas.microsoft.com/office/drawing/2014/main" id="{6B61906B-1E7E-44FF-B438-140D41C821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645583" cy="645583"/>
        </a:xfrm>
        <a:prstGeom prst="rect">
          <a:avLst/>
        </a:prstGeom>
      </xdr:spPr>
    </xdr:pic>
    <xdr:clientData/>
  </xdr:twoCellAnchor>
  <xdr:twoCellAnchor editAs="oneCell">
    <xdr:from>
      <xdr:col>13</xdr:col>
      <xdr:colOff>228600</xdr:colOff>
      <xdr:row>0</xdr:row>
      <xdr:rowOff>76200</xdr:rowOff>
    </xdr:from>
    <xdr:to>
      <xdr:col>14</xdr:col>
      <xdr:colOff>504825</xdr:colOff>
      <xdr:row>3</xdr:row>
      <xdr:rowOff>9525</xdr:rowOff>
    </xdr:to>
    <xdr:pic>
      <xdr:nvPicPr>
        <xdr:cNvPr id="3073" name="Picture 1" descr="j0431495">
          <a:hlinkClick xmlns:r="http://schemas.openxmlformats.org/officeDocument/2006/relationships" r:id="rId1"/>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77525" y="76200"/>
          <a:ext cx="5048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904875</xdr:colOff>
      <xdr:row>204</xdr:row>
      <xdr:rowOff>95250</xdr:rowOff>
    </xdr:from>
    <xdr:to>
      <xdr:col>14</xdr:col>
      <xdr:colOff>1525683</xdr:colOff>
      <xdr:row>207</xdr:row>
      <xdr:rowOff>128869</xdr:rowOff>
    </xdr:to>
    <xdr:pic>
      <xdr:nvPicPr>
        <xdr:cNvPr id="4" name="Graphic 3" descr="House">
          <a:hlinkClick xmlns:r="http://schemas.openxmlformats.org/officeDocument/2006/relationships" r:id="rId1"/>
          <a:extLst>
            <a:ext uri="{FF2B5EF4-FFF2-40B4-BE49-F238E27FC236}">
              <a16:creationId xmlns:a16="http://schemas.microsoft.com/office/drawing/2014/main" id="{54D8561D-E01E-4343-9C7D-A3A35EA7C6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830050" y="10115550"/>
          <a:ext cx="620808" cy="614644"/>
        </a:xfrm>
        <a:prstGeom prst="rect">
          <a:avLst/>
        </a:prstGeom>
      </xdr:spPr>
    </xdr:pic>
    <xdr:clientData/>
  </xdr:twoCellAnchor>
  <xdr:twoCellAnchor editAs="oneCell">
    <xdr:from>
      <xdr:col>0</xdr:col>
      <xdr:colOff>1</xdr:colOff>
      <xdr:row>0</xdr:row>
      <xdr:rowOff>1</xdr:rowOff>
    </xdr:from>
    <xdr:to>
      <xdr:col>2</xdr:col>
      <xdr:colOff>302560</xdr:colOff>
      <xdr:row>1</xdr:row>
      <xdr:rowOff>369794</xdr:rowOff>
    </xdr:to>
    <xdr:pic>
      <xdr:nvPicPr>
        <xdr:cNvPr id="3" name="Graphic 2" descr="House">
          <a:hlinkClick xmlns:r="http://schemas.openxmlformats.org/officeDocument/2006/relationships" r:id="rId1"/>
          <a:extLst>
            <a:ext uri="{FF2B5EF4-FFF2-40B4-BE49-F238E27FC236}">
              <a16:creationId xmlns:a16="http://schemas.microsoft.com/office/drawing/2014/main" id="{FBF83487-F035-435C-A34E-575DDC9662B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 y="1"/>
          <a:ext cx="571500" cy="5714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567285</xdr:colOff>
      <xdr:row>3</xdr:row>
      <xdr:rowOff>47625</xdr:rowOff>
    </xdr:to>
    <xdr:pic>
      <xdr:nvPicPr>
        <xdr:cNvPr id="3" name="Graphic 2" descr="House">
          <a:hlinkClick xmlns:r="http://schemas.openxmlformats.org/officeDocument/2006/relationships" r:id="rId1"/>
          <a:extLst>
            <a:ext uri="{FF2B5EF4-FFF2-40B4-BE49-F238E27FC236}">
              <a16:creationId xmlns:a16="http://schemas.microsoft.com/office/drawing/2014/main" id="{0850A8B5-9286-4305-87A5-AB811FF98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567285" cy="542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361949</xdr:colOff>
      <xdr:row>4</xdr:row>
      <xdr:rowOff>47624</xdr:rowOff>
    </xdr:from>
    <xdr:to>
      <xdr:col>1</xdr:col>
      <xdr:colOff>333374</xdr:colOff>
      <xdr:row>7</xdr:row>
      <xdr:rowOff>38099</xdr:rowOff>
    </xdr:to>
    <xdr:pic>
      <xdr:nvPicPr>
        <xdr:cNvPr id="3" name="Picture 2" descr="House with solid fill">
          <a:hlinkClick xmlns:r="http://schemas.openxmlformats.org/officeDocument/2006/relationships" r:id="rId1"/>
          <a:extLst>
            <a:ext uri="{FF2B5EF4-FFF2-40B4-BE49-F238E27FC236}">
              <a16:creationId xmlns:a16="http://schemas.microsoft.com/office/drawing/2014/main" id="{7098A793-E819-4101-835B-8A7B34DA10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361949" y="619124"/>
          <a:ext cx="581025" cy="581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581025" cy="581025"/>
    <xdr:pic>
      <xdr:nvPicPr>
        <xdr:cNvPr id="2" name="Picture 2" descr="House with solid fill">
          <a:hlinkClick xmlns:r="http://schemas.openxmlformats.org/officeDocument/2006/relationships" r:id="rId1"/>
          <a:extLst>
            <a:ext uri="{FF2B5EF4-FFF2-40B4-BE49-F238E27FC236}">
              <a16:creationId xmlns:a16="http://schemas.microsoft.com/office/drawing/2014/main" id="{D7E77EA4-5373-47E2-BFED-9793D4D5CD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609600" y="190500"/>
          <a:ext cx="581025" cy="581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581025</xdr:colOff>
      <xdr:row>4</xdr:row>
      <xdr:rowOff>76200</xdr:rowOff>
    </xdr:to>
    <xdr:pic>
      <xdr:nvPicPr>
        <xdr:cNvPr id="3" name="Picture 2" descr="House with solid fill">
          <a:hlinkClick xmlns:r="http://schemas.openxmlformats.org/officeDocument/2006/relationships" r:id="rId1"/>
          <a:extLst>
            <a:ext uri="{FF2B5EF4-FFF2-40B4-BE49-F238E27FC236}">
              <a16:creationId xmlns:a16="http://schemas.microsoft.com/office/drawing/2014/main" id="{0E006B5F-37C0-48A1-85F1-A459248738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0" y="990600"/>
          <a:ext cx="581025" cy="5810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581025</xdr:colOff>
      <xdr:row>2</xdr:row>
      <xdr:rowOff>381000</xdr:rowOff>
    </xdr:to>
    <xdr:pic>
      <xdr:nvPicPr>
        <xdr:cNvPr id="3" name="Picture 2" descr="House with solid fill">
          <a:hlinkClick xmlns:r="http://schemas.openxmlformats.org/officeDocument/2006/relationships" r:id="rId1"/>
          <a:extLst>
            <a:ext uri="{FF2B5EF4-FFF2-40B4-BE49-F238E27FC236}">
              <a16:creationId xmlns:a16="http://schemas.microsoft.com/office/drawing/2014/main" id="{C9CC4577-4887-43AE-8C90-E2683F10C3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704850" y="190500"/>
          <a:ext cx="581025" cy="5810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904875</xdr:colOff>
      <xdr:row>204</xdr:row>
      <xdr:rowOff>95250</xdr:rowOff>
    </xdr:from>
    <xdr:to>
      <xdr:col>14</xdr:col>
      <xdr:colOff>1525683</xdr:colOff>
      <xdr:row>207</xdr:row>
      <xdr:rowOff>138394</xdr:rowOff>
    </xdr:to>
    <xdr:pic>
      <xdr:nvPicPr>
        <xdr:cNvPr id="2" name="Graphic 1" descr="House">
          <a:hlinkClick xmlns:r="http://schemas.openxmlformats.org/officeDocument/2006/relationships" r:id="rId1"/>
          <a:extLst>
            <a:ext uri="{FF2B5EF4-FFF2-40B4-BE49-F238E27FC236}">
              <a16:creationId xmlns:a16="http://schemas.microsoft.com/office/drawing/2014/main" id="{C719E6EF-2F68-4CFB-9E02-1F72797D84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496675" y="39500175"/>
          <a:ext cx="620808" cy="614644"/>
        </a:xfrm>
        <a:prstGeom prst="rect">
          <a:avLst/>
        </a:prstGeom>
      </xdr:spPr>
    </xdr:pic>
    <xdr:clientData/>
  </xdr:twoCellAnchor>
  <xdr:twoCellAnchor editAs="oneCell">
    <xdr:from>
      <xdr:col>0</xdr:col>
      <xdr:colOff>1</xdr:colOff>
      <xdr:row>0</xdr:row>
      <xdr:rowOff>1</xdr:rowOff>
    </xdr:from>
    <xdr:to>
      <xdr:col>2</xdr:col>
      <xdr:colOff>302560</xdr:colOff>
      <xdr:row>1</xdr:row>
      <xdr:rowOff>369794</xdr:rowOff>
    </xdr:to>
    <xdr:pic>
      <xdr:nvPicPr>
        <xdr:cNvPr id="3" name="Graphic 2" descr="House">
          <a:hlinkClick xmlns:r="http://schemas.openxmlformats.org/officeDocument/2006/relationships" r:id="rId1"/>
          <a:extLst>
            <a:ext uri="{FF2B5EF4-FFF2-40B4-BE49-F238E27FC236}">
              <a16:creationId xmlns:a16="http://schemas.microsoft.com/office/drawing/2014/main" id="{2F97401A-EB45-42C7-85F4-92A92F6585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
          <a:ext cx="569260" cy="569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rah/Documents/Dropbox/Nassington%20PC/Accounts%20&amp;%20Audit/2015_16/15%20NPC%20Accs%202015_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ah/Documents/Dropbox/Nassington%20PC/Accounts%20&amp;%20Audit/2012_13/12_Nass_Accs12_13_NPC.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h/Dropbox/Warmington%20PC/Accounts%20and%20Budgets/Accounts%202018-2019/18-19%20WPC%20accou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arah/My%20Documents/Dropbox/D&amp;DT/Accounts%20&amp;%20Audit/11%20DDPC%20Accs_11_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rah/Documents/Dropbox/Warmington%20PC/Accounts%20and%20Budgets/Accounts%202016-2017/WPC%2016_17%20budget%20analysis%20and%20data%20comparis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rah/Dropbox/Nassington%20PC/Agenda%20&amp;%20Minutes/Background%20papers/21.09%20Copy%20of%20NPC%20Accounts%202021_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 budget"/>
      <sheetName val="Budget Analysis"/>
      <sheetName val="Receipts"/>
      <sheetName val="Payments"/>
      <sheetName val="Balances"/>
      <sheetName val="Audit reconciliation"/>
      <sheetName val="Asset Register"/>
      <sheetName val="Audit Bank rec"/>
      <sheetName val="Variances"/>
      <sheetName val="VAT"/>
      <sheetName val="Cash flow"/>
      <sheetName val="Budget Analysis (2)"/>
      <sheetName val="_budget"/>
      <sheetName val="Budget_Analysis"/>
      <sheetName val="Audit_reconciliation"/>
      <sheetName val="Asset_Register"/>
      <sheetName val="Audit_Bank_rec"/>
      <sheetName val="Cash_flow"/>
      <sheetName val="Budget_Analysis_(2)"/>
    </sheetNames>
    <sheetDataSet>
      <sheetData sheetId="0"/>
      <sheetData sheetId="1">
        <row r="14">
          <cell r="C14" t="str">
            <v xml:space="preserve">Salary </v>
          </cell>
        </row>
        <row r="15">
          <cell r="C15" t="str">
            <v>Clerks expenses</v>
          </cell>
        </row>
        <row r="16">
          <cell r="C16" t="str">
            <v>Office expenses</v>
          </cell>
        </row>
        <row r="17">
          <cell r="C17" t="str">
            <v>Training budget</v>
          </cell>
        </row>
        <row r="18">
          <cell r="C18" t="str">
            <v xml:space="preserve">Twinning. newsletter. </v>
          </cell>
        </row>
        <row r="19">
          <cell r="C19" t="str">
            <v>Street Lighting</v>
          </cell>
        </row>
        <row r="20">
          <cell r="C20" t="str">
            <v xml:space="preserve">Playing Field </v>
          </cell>
        </row>
        <row r="21">
          <cell r="C21" t="str">
            <v>Sports Association</v>
          </cell>
        </row>
        <row r="22">
          <cell r="C22" t="str">
            <v>Footpaths / Environment / grasscutting</v>
          </cell>
        </row>
        <row r="23">
          <cell r="C23" t="str">
            <v>Burial Board</v>
          </cell>
        </row>
        <row r="24">
          <cell r="C24" t="str">
            <v>Insurance</v>
          </cell>
        </row>
        <row r="25">
          <cell r="C25" t="str">
            <v>NALC. Acre,Competitions</v>
          </cell>
        </row>
        <row r="26">
          <cell r="C26" t="str">
            <v>Village Hall Hire</v>
          </cell>
        </row>
        <row r="27">
          <cell r="C27" t="str">
            <v>Audit</v>
          </cell>
        </row>
        <row r="28">
          <cell r="C28" t="str">
            <v>Allotment Expenditure</v>
          </cell>
        </row>
        <row r="29">
          <cell r="C29" t="str">
            <v>Election Expenses</v>
          </cell>
        </row>
        <row r="30">
          <cell r="C30" t="str">
            <v>churchyard</v>
          </cell>
        </row>
        <row r="31">
          <cell r="C31" t="str">
            <v>Contingency (building reserves)</v>
          </cell>
        </row>
        <row r="32">
          <cell r="C32" t="str">
            <v>NHW</v>
          </cell>
        </row>
        <row r="38">
          <cell r="C38" t="str">
            <v>Capital reserve</v>
          </cell>
        </row>
        <row r="39">
          <cell r="C39" t="str">
            <v>Youth project</v>
          </cell>
        </row>
        <row r="40">
          <cell r="C40" t="str">
            <v>Churchyard / Wall</v>
          </cell>
        </row>
        <row r="41">
          <cell r="C41" t="str">
            <v>Misc  / grants</v>
          </cell>
        </row>
      </sheetData>
      <sheetData sheetId="2">
        <row r="16">
          <cell r="F16">
            <v>7267.84</v>
          </cell>
        </row>
      </sheetData>
      <sheetData sheetId="3">
        <row r="59">
          <cell r="K59">
            <v>0</v>
          </cell>
        </row>
      </sheetData>
      <sheetData sheetId="4">
        <row r="3">
          <cell r="R3" t="str">
            <v xml:space="preserve">Salary </v>
          </cell>
        </row>
        <row r="4">
          <cell r="R4" t="str">
            <v>Clerks expenses</v>
          </cell>
        </row>
        <row r="5">
          <cell r="R5" t="str">
            <v>Office expenses</v>
          </cell>
        </row>
        <row r="6">
          <cell r="R6" t="str">
            <v>Training budget</v>
          </cell>
        </row>
        <row r="7">
          <cell r="R7" t="str">
            <v xml:space="preserve">Twinning. newsletter. </v>
          </cell>
        </row>
        <row r="8">
          <cell r="R8" t="str">
            <v>Street Lighting</v>
          </cell>
        </row>
        <row r="9">
          <cell r="R9" t="str">
            <v xml:space="preserve">Playing Field </v>
          </cell>
        </row>
        <row r="10">
          <cell r="R10" t="str">
            <v>Sports Association</v>
          </cell>
        </row>
        <row r="11">
          <cell r="R11" t="str">
            <v>Footpaths / Environment / grasscutting</v>
          </cell>
        </row>
        <row r="12">
          <cell r="R12" t="str">
            <v>Burial Board</v>
          </cell>
        </row>
        <row r="13">
          <cell r="R13" t="str">
            <v>Insurance</v>
          </cell>
        </row>
        <row r="14">
          <cell r="R14" t="str">
            <v>Insurance</v>
          </cell>
        </row>
        <row r="15">
          <cell r="R15" t="str">
            <v>NALC. Acre,Competitions</v>
          </cell>
        </row>
        <row r="16">
          <cell r="R16" t="str">
            <v>Village Hall Hire</v>
          </cell>
        </row>
        <row r="17">
          <cell r="R17" t="str">
            <v>Audit</v>
          </cell>
        </row>
        <row r="18">
          <cell r="R18" t="str">
            <v>Allotment Expenditure</v>
          </cell>
        </row>
        <row r="19">
          <cell r="R19" t="str">
            <v>Election Expenses</v>
          </cell>
        </row>
        <row r="20">
          <cell r="R20" t="str">
            <v>churchyard</v>
          </cell>
        </row>
        <row r="21">
          <cell r="R21" t="str">
            <v>Contingency</v>
          </cell>
        </row>
        <row r="22">
          <cell r="R22" t="str">
            <v>NHW</v>
          </cell>
        </row>
        <row r="23">
          <cell r="R23" t="str">
            <v>Youth project (Underground)</v>
          </cell>
        </row>
        <row r="24">
          <cell r="R24" t="str">
            <v>Contingency (building reserves)</v>
          </cell>
        </row>
        <row r="25">
          <cell r="R25" t="str">
            <v xml:space="preserve">Defibrillator </v>
          </cell>
        </row>
        <row r="26">
          <cell r="R26" t="str">
            <v>WWI Plaque</v>
          </cell>
        </row>
        <row r="27">
          <cell r="R27" t="str">
            <v>Churchyard Wall</v>
          </cell>
        </row>
        <row r="28">
          <cell r="R28" t="str">
            <v>Elections</v>
          </cell>
        </row>
        <row r="29">
          <cell r="R29" t="str">
            <v>Youth project</v>
          </cell>
        </row>
        <row r="30">
          <cell r="R30" t="str">
            <v>Churchyard Wall</v>
          </cell>
        </row>
        <row r="31">
          <cell r="R31" t="str">
            <v>Play area</v>
          </cell>
        </row>
        <row r="32">
          <cell r="R32" t="str">
            <v xml:space="preserve">Hangout area </v>
          </cell>
        </row>
        <row r="33">
          <cell r="R33" t="str">
            <v>General Reserve</v>
          </cell>
        </row>
        <row r="34">
          <cell r="R34">
            <v>0</v>
          </cell>
        </row>
        <row r="35">
          <cell r="R35" t="str">
            <v>Allotment  reserve</v>
          </cell>
        </row>
      </sheetData>
      <sheetData sheetId="5"/>
      <sheetData sheetId="6">
        <row r="5">
          <cell r="H5">
            <v>21912</v>
          </cell>
        </row>
      </sheetData>
      <sheetData sheetId="7"/>
      <sheetData sheetId="8"/>
      <sheetData sheetId="9"/>
      <sheetData sheetId="10"/>
      <sheetData sheetId="11"/>
      <sheetData sheetId="12"/>
      <sheetData sheetId="13">
        <row r="14">
          <cell r="C14" t="str">
            <v xml:space="preserve">Salary </v>
          </cell>
        </row>
      </sheetData>
      <sheetData sheetId="14">
        <row r="16">
          <cell r="F16">
            <v>7267.84</v>
          </cell>
        </row>
      </sheetData>
      <sheetData sheetId="15">
        <row r="5">
          <cell r="H5">
            <v>21912</v>
          </cell>
        </row>
      </sheetData>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 budget"/>
      <sheetName val="Budget Analysis"/>
      <sheetName val="Receipts"/>
      <sheetName val="Payments"/>
      <sheetName val="Balances"/>
      <sheetName val="Cash flow"/>
      <sheetName val="Audit reconciliation"/>
      <sheetName val="Asset Register"/>
      <sheetName val="Audit Bank rec"/>
      <sheetName val="Variances"/>
      <sheetName val="VAT"/>
    </sheetNames>
    <sheetDataSet>
      <sheetData sheetId="0"/>
      <sheetData sheetId="1">
        <row r="13">
          <cell r="C13" t="str">
            <v xml:space="preserve">Salary </v>
          </cell>
        </row>
        <row r="14">
          <cell r="C14" t="str">
            <v>Clerks expenses</v>
          </cell>
        </row>
        <row r="15">
          <cell r="C15" t="str">
            <v>Office expenses</v>
          </cell>
        </row>
        <row r="16">
          <cell r="C16" t="str">
            <v>Chair's allowance</v>
          </cell>
        </row>
        <row r="17">
          <cell r="C17" t="str">
            <v>Training budget</v>
          </cell>
        </row>
        <row r="18">
          <cell r="C18" t="str">
            <v xml:space="preserve">Twinning. newsletter. </v>
          </cell>
        </row>
        <row r="19">
          <cell r="C19" t="str">
            <v>Street Lighting</v>
          </cell>
        </row>
        <row r="20">
          <cell r="C20" t="str">
            <v>Playing Field / Sports Ass  Footpaths / Environment</v>
          </cell>
        </row>
        <row r="22">
          <cell r="C22" t="str">
            <v>Burial Board</v>
          </cell>
        </row>
        <row r="23">
          <cell r="C23" t="str">
            <v>Insurance</v>
          </cell>
        </row>
        <row r="24">
          <cell r="C24" t="str">
            <v>NALC. Acre,Competitions</v>
          </cell>
        </row>
        <row r="25">
          <cell r="C25" t="str">
            <v>Village Hall Hire</v>
          </cell>
        </row>
        <row r="26">
          <cell r="C26" t="str">
            <v>Audit</v>
          </cell>
        </row>
        <row r="27">
          <cell r="C27" t="str">
            <v>Allotment Expenditure</v>
          </cell>
        </row>
        <row r="28">
          <cell r="C28" t="str">
            <v>Election Expenses</v>
          </cell>
        </row>
        <row r="29">
          <cell r="C29" t="str">
            <v>churchyard</v>
          </cell>
        </row>
        <row r="30">
          <cell r="C30" t="str">
            <v>Contingency</v>
          </cell>
        </row>
        <row r="31">
          <cell r="C31" t="str">
            <v>Jubilee</v>
          </cell>
        </row>
        <row r="32">
          <cell r="C32" t="str">
            <v>Contingency (building reserves)</v>
          </cell>
        </row>
        <row r="34">
          <cell r="C34" t="str">
            <v>Community complex</v>
          </cell>
        </row>
        <row r="35">
          <cell r="C35" t="str">
            <v>Youth project</v>
          </cell>
        </row>
        <row r="36">
          <cell r="C36" t="str">
            <v>Churchyard Wall</v>
          </cell>
        </row>
        <row r="37">
          <cell r="C37" t="str">
            <v>Jubilee</v>
          </cell>
        </row>
        <row r="38">
          <cell r="C38" t="str">
            <v>Misc  / grants</v>
          </cell>
        </row>
      </sheetData>
      <sheetData sheetId="2">
        <row r="7">
          <cell r="D7">
            <v>375</v>
          </cell>
        </row>
      </sheetData>
      <sheetData sheetId="3"/>
      <sheetData sheetId="4">
        <row r="3">
          <cell r="R3" t="str">
            <v xml:space="preserve">Salary </v>
          </cell>
        </row>
        <row r="4">
          <cell r="R4" t="str">
            <v>Clerks expenses</v>
          </cell>
        </row>
        <row r="5">
          <cell r="R5" t="str">
            <v>Office expenses</v>
          </cell>
        </row>
        <row r="6">
          <cell r="R6" t="str">
            <v>Chair's allowance</v>
          </cell>
        </row>
        <row r="7">
          <cell r="R7" t="str">
            <v>Chair's allowance</v>
          </cell>
        </row>
        <row r="8">
          <cell r="R8" t="str">
            <v>Training budget</v>
          </cell>
        </row>
        <row r="9">
          <cell r="R9" t="str">
            <v xml:space="preserve">Twinning. newsletter. </v>
          </cell>
        </row>
        <row r="10">
          <cell r="R10" t="str">
            <v>Street Lighting</v>
          </cell>
        </row>
        <row r="11">
          <cell r="R11" t="str">
            <v>Playing Field / Sports Ass  Footpaths / Environment</v>
          </cell>
        </row>
        <row r="12">
          <cell r="R12" t="str">
            <v>Burial Board</v>
          </cell>
        </row>
        <row r="13">
          <cell r="R13" t="str">
            <v>Insurance</v>
          </cell>
        </row>
        <row r="14">
          <cell r="R14" t="str">
            <v>NALC. Acre,Competitions</v>
          </cell>
        </row>
        <row r="15">
          <cell r="R15" t="str">
            <v>Village Hall Hire</v>
          </cell>
        </row>
        <row r="16">
          <cell r="R16" t="str">
            <v>Audit</v>
          </cell>
        </row>
        <row r="17">
          <cell r="R17" t="str">
            <v>Allotment Expenditure</v>
          </cell>
        </row>
        <row r="18">
          <cell r="R18" t="str">
            <v>Election Expenses</v>
          </cell>
        </row>
        <row r="19">
          <cell r="R19" t="str">
            <v>churchyard</v>
          </cell>
        </row>
        <row r="20">
          <cell r="R20" t="str">
            <v>Contingency</v>
          </cell>
        </row>
        <row r="21">
          <cell r="R21" t="str">
            <v>Jubilee</v>
          </cell>
        </row>
        <row r="22">
          <cell r="R22" t="str">
            <v>Contingency (building reserves)</v>
          </cell>
        </row>
        <row r="23">
          <cell r="R23" t="str">
            <v>Community complex</v>
          </cell>
        </row>
        <row r="24">
          <cell r="R24" t="str">
            <v>Youth project</v>
          </cell>
        </row>
        <row r="25">
          <cell r="R25" t="str">
            <v>Churchyard Wall</v>
          </cell>
        </row>
        <row r="26">
          <cell r="R26" t="str">
            <v>Jubilee res</v>
          </cell>
        </row>
        <row r="27">
          <cell r="R27" t="str">
            <v>Misc  / grants</v>
          </cell>
        </row>
      </sheetData>
      <sheetData sheetId="5">
        <row r="19">
          <cell r="C19">
            <v>31575.66</v>
          </cell>
        </row>
      </sheetData>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 Budget analysis 2018_19"/>
      <sheetName val="Receipts"/>
      <sheetName val="Payments"/>
      <sheetName val="Balances"/>
      <sheetName val="Audit Bank rec"/>
      <sheetName val="Audit reconciliation"/>
      <sheetName val="Variances"/>
      <sheetName val="Asset Reg"/>
      <sheetName val="Re'c"/>
      <sheetName val="AWA_Grants"/>
      <sheetName val="Sheet2"/>
      <sheetName val="Payt"/>
      <sheetName val="Payt anal"/>
      <sheetName val="PaytAnalysis"/>
      <sheetName val="Receipt"/>
      <sheetName val="Sheet3"/>
      <sheetName val="Payments (2)"/>
      <sheetName val="Sheet4"/>
      <sheetName val="Sheet5"/>
      <sheetName val=" Budget analysis 2018_19 (3)"/>
      <sheetName val=" Budget analysis 2018_19 (2)"/>
      <sheetName val="Assets"/>
      <sheetName val="VAT"/>
      <sheetName val="VAT (2)"/>
      <sheetName val="Sheet1"/>
      <sheetName val="PockIt-Petty Cash "/>
      <sheetName val="Fixed Asset Register"/>
    </sheetNames>
    <sheetDataSet>
      <sheetData sheetId="0" refreshError="1"/>
      <sheetData sheetId="1" refreshError="1"/>
      <sheetData sheetId="2" refreshError="1"/>
      <sheetData sheetId="3">
        <row r="208">
          <cell r="L208">
            <v>628.20000000000005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udget "/>
      <sheetName val="Budget control"/>
      <sheetName val="Receipts &amp; Payments"/>
      <sheetName val="Balances"/>
      <sheetName val="Audit summary"/>
      <sheetName val="Audit Bank rec"/>
      <sheetName val="Expense Statement"/>
      <sheetName val="Mileage Log"/>
      <sheetName val="hours"/>
      <sheetName val="Postage"/>
      <sheetName val="Asset Register"/>
      <sheetName val="Variances"/>
      <sheetName val="Budget"/>
      <sheetName val="Budget proposal"/>
      <sheetName val="Cash flow"/>
      <sheetName val="Audit reconciliation"/>
      <sheetName val="Bank rec."/>
      <sheetName val="Budget_"/>
      <sheetName val="Budget_control"/>
      <sheetName val="Receipts_&amp;_Payments"/>
      <sheetName val="Audit_summary"/>
      <sheetName val="Audit_Bank_rec"/>
      <sheetName val="Expense_Statement"/>
      <sheetName val="Mileage_Log"/>
      <sheetName val="Asset_Register"/>
      <sheetName val="Budget_proposal"/>
      <sheetName val="Cash_flow"/>
      <sheetName val="Audit_reconciliation"/>
      <sheetName val="Bank_rec_"/>
    </sheetNames>
    <sheetDataSet>
      <sheetData sheetId="0"/>
      <sheetData sheetId="1"/>
      <sheetData sheetId="2">
        <row r="4">
          <cell r="B4" t="str">
            <v>Salary</v>
          </cell>
        </row>
        <row r="5">
          <cell r="B5" t="str">
            <v>Village hall hire</v>
          </cell>
        </row>
        <row r="6">
          <cell r="B6" t="str">
            <v>Charitable donations / Contingency</v>
          </cell>
        </row>
        <row r="7">
          <cell r="B7" t="str">
            <v>NALC / Subscriptions / Misc stationery / exps</v>
          </cell>
        </row>
        <row r="8">
          <cell r="B8" t="str">
            <v>Landscaping</v>
          </cell>
        </row>
        <row r="9">
          <cell r="B9" t="str">
            <v>Audit</v>
          </cell>
        </row>
        <row r="10">
          <cell r="B10" t="str">
            <v>Insurance</v>
          </cell>
        </row>
        <row r="11">
          <cell r="B11" t="str">
            <v>election</v>
          </cell>
        </row>
        <row r="12">
          <cell r="B12" t="str">
            <v>Jubilee</v>
          </cell>
        </row>
        <row r="13">
          <cell r="B13" t="str">
            <v>Grass cutting</v>
          </cell>
        </row>
      </sheetData>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sheetData sheetId="19">
        <row r="4">
          <cell r="B4" t="str">
            <v>Salary</v>
          </cell>
        </row>
      </sheetData>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Budget analysis 2015_16"/>
      <sheetName val="VARIATIONS"/>
      <sheetName val="PAST YEARS"/>
      <sheetName val="INCREASE TABLE"/>
      <sheetName val="_Budget_analysis_2015_16"/>
      <sheetName val="PAST_YEARS"/>
      <sheetName val="INCREASE_TABLE"/>
    </sheetNames>
    <sheetDataSet>
      <sheetData sheetId="0"/>
      <sheetData sheetId="1">
        <row r="17">
          <cell r="C17">
            <v>2.9958650000000491</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udget Analysis"/>
      <sheetName val="Sheet3"/>
      <sheetName val="Receipts"/>
      <sheetName val="Payments"/>
      <sheetName val="Balances"/>
      <sheetName val="Audit Bank rec"/>
      <sheetName val="PockIt-Petty Cash "/>
      <sheetName val="Audit reconciliation"/>
      <sheetName val="Budget Analysis (2)"/>
      <sheetName val="Variances "/>
      <sheetName val="Asset Register"/>
      <sheetName val="Payments (2)"/>
      <sheetName val="Grant"/>
      <sheetName val="LGSS Invoices"/>
      <sheetName val="Payt Meths"/>
      <sheetName val="Payments (3)"/>
      <sheetName val="PiTP"/>
      <sheetName val="CollectionDonation"/>
      <sheetName val="Sheet2"/>
      <sheetName val="VAT"/>
      <sheetName val="Cash flow"/>
    </sheetNames>
    <sheetDataSet>
      <sheetData sheetId="0"/>
      <sheetData sheetId="1"/>
      <sheetData sheetId="2"/>
      <sheetData sheetId="3"/>
      <sheetData sheetId="4"/>
      <sheetData sheetId="5">
        <row r="6">
          <cell r="F6">
            <v>2280.29</v>
          </cell>
        </row>
        <row r="8">
          <cell r="F8">
            <v>177.14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0C29D8-2000-40D3-B597-9CC539BE4198}" name="Table1" displayName="Table1" ref="C2:O204" totalsRowShown="0" headerRowBorderDxfId="1" tableBorderDxfId="0">
  <autoFilter ref="C2:O204" xr:uid="{550C29D8-2000-40D3-B597-9CC539BE4198}">
    <filterColumn colId="12">
      <filters>
        <filter val="History Group"/>
      </filters>
    </filterColumn>
  </autoFilter>
  <tableColumns count="13">
    <tableColumn id="1" xr3:uid="{C43B6B16-D995-4EA0-BDC4-5DA766411FAC}" name="TOTAL"/>
    <tableColumn id="2" xr3:uid="{C0C0D755-B4BB-4E94-BA95-EC9A7D20F1D4}" name="Date paid / minuted"/>
    <tableColumn id="3" xr3:uid="{526E262C-D5EC-48AA-A013-70D571FA3D94}" name="Chq No/Trans type"/>
    <tableColumn id="4" xr3:uid="{C734C069-86AB-4F9F-8718-69569BF5B799}" name="Details                                                           (click on hyperlinks to view invoices)"/>
    <tableColumn id="5" xr3:uid="{7539DC68-D024-4202-BE2A-E5F201E7C378}" name="Cleared?"/>
    <tableColumn id="6" xr3:uid="{CCB77E5F-950B-453D-A99A-BBCAA09D98E4}" name="Payee"/>
    <tableColumn id="7" xr3:uid="{73F74463-0647-4BD0-A90D-E8E969AF1955}" name="Admin Costs"/>
    <tableColumn id="8" xr3:uid="{4675CB77-29A5-4100-AF94-425CA962E1D9}" name="Community &amp; Running Costs"/>
    <tableColumn id="9" xr3:uid="{9C97F3BB-8371-41D6-9863-CD8DC765DD17}" name="Reserves"/>
    <tableColumn id="10" xr3:uid="{C9E1E40B-2FE4-4C36-A803-31047048EA16}" name="Section   137 "/>
    <tableColumn id="11" xr3:uid="{C9C4A7A0-5135-4CAC-ADEF-EC3C7EE569AC}" name="NETT">
      <calculatedColumnFormula>SUM(I3:L3)</calculatedColumnFormula>
    </tableColumn>
    <tableColumn id="12" xr3:uid="{5E4EFE06-8771-4E57-B253-A0691CF114E0}" name="VAT"/>
    <tableColumn id="13" xr3:uid="{A29F76DC-16CE-4AC6-9A1C-1C73D69D711B}" name="Cost Point / budget expenditure analysis"/>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6" Type="http://schemas.openxmlformats.org/officeDocument/2006/relationships/hyperlink" Target="https://www.dropbox.com/s/pru12a4dx0rcal0/22.05%20gazebo%20invoice-4486.pdf?dl=0" TargetMode="External"/><Relationship Id="rId21" Type="http://schemas.openxmlformats.org/officeDocument/2006/relationships/hyperlink" Target="https://www.dropbox.com/s/robbdd73l7dy9kz/22.05%20Land%20registry%20WorldPay%20CARD%20transaction%20Confirmation.pdf?dl=0" TargetMode="External"/><Relationship Id="rId42" Type="http://schemas.openxmlformats.org/officeDocument/2006/relationships/hyperlink" Target="https://www.dropbox.com/s/k1yane1p8m283v5/22.05%20Duke%20valley%20glasses.pdf?dl=0" TargetMode="External"/><Relationship Id="rId47" Type="http://schemas.openxmlformats.org/officeDocument/2006/relationships/hyperlink" Target="https://www.dropbox.com/s/1d8olufi8n5lnka/22.06%20Amazon%20selfies%20decorations.pdf?dl=0" TargetMode="External"/><Relationship Id="rId63" Type="http://schemas.openxmlformats.org/officeDocument/2006/relationships/hyperlink" Target="https://www.dropbox.com/s/dfpfwz1c9lpkgs2/22.06%20%20B%26QPayPal%20SID%20straps.pdf?dl=0" TargetMode="External"/><Relationship Id="rId68" Type="http://schemas.openxmlformats.org/officeDocument/2006/relationships/hyperlink" Target="https://www.dropbox.com/s/5iin8tddipi5yti/22.07%20YNBB%20Nassington%20Jubilee%20invoice%20June%202022.pdf?dl=0" TargetMode="External"/><Relationship Id="rId84" Type="http://schemas.openxmlformats.org/officeDocument/2006/relationships/hyperlink" Target="https://www.dropbox.com/s/hmw9op5fsn1pllj/22.09%20Easiprint%20Invoice%20No.%207154.pdf?dl=0" TargetMode="External"/><Relationship Id="rId89" Type="http://schemas.openxmlformats.org/officeDocument/2006/relationships/hyperlink" Target="https://www.dropbox.com/s/5ibiaua3n8gfi3f/22.10%20amzon%20sundries%20merged.pdf?dl=0" TargetMode="External"/><Relationship Id="rId112" Type="http://schemas.openxmlformats.org/officeDocument/2006/relationships/hyperlink" Target="https://www.dropbox.com/s/pn2vysy96tjcd90/23.03%20Farm%20Forestry%20order%20tree%20guardREFUND.pdf?dl=0" TargetMode="External"/><Relationship Id="rId16" Type="http://schemas.openxmlformats.org/officeDocument/2006/relationships/hyperlink" Target="https://www.dropbox.com/s/u7apbdz50x4qgag/22.04%20AmazonBusinessInvoiceGB21J7U99AEUI%20Jubilee%20cutout.pdf?dl=0" TargetMode="External"/><Relationship Id="rId107" Type="http://schemas.openxmlformats.org/officeDocument/2006/relationships/hyperlink" Target="https://www.dropbox.com/s/h6jc5qla9ngen5p/23.01%20REDPlough%20Nassington%20Dec%2022%20Invoice%202813.pdf?dl=0" TargetMode="External"/><Relationship Id="rId11" Type="http://schemas.openxmlformats.org/officeDocument/2006/relationships/hyperlink" Target="https://www.dropbox.com/s/hqr7rkdvl68zvz5/22.04%20Amazon%20obilisk%20jubilee.pdf?dl=0" TargetMode="External"/><Relationship Id="rId32" Type="http://schemas.openxmlformats.org/officeDocument/2006/relationships/hyperlink" Target="https://www.dropbox.com/s/86qsbsxjljkznkf/22.05%20Amazon%20stationery.pdf?dl=0" TargetMode="External"/><Relationship Id="rId37" Type="http://schemas.openxmlformats.org/officeDocument/2006/relationships/hyperlink" Target="https://www.dropbox.com/s/ulevaoom7gejz0i/22.05%20Plough%20Apr22%20works%20invoice%202723.pdf?dl=0" TargetMode="External"/><Relationship Id="rId53" Type="http://schemas.openxmlformats.org/officeDocument/2006/relationships/hyperlink" Target="https://www.dropbox.com/s/37d7cw5yuaevp68/22.06%20Party%20Chest%20Invoice.pdf?dl=0" TargetMode="External"/><Relationship Id="rId58" Type="http://schemas.openxmlformats.org/officeDocument/2006/relationships/hyperlink" Target="https://www.dropbox.com/s/71kqn4w0cpsvgaw/22.06%20Tsohost%20webhosting%20invoice.pdf?dl=0" TargetMode="External"/><Relationship Id="rId74" Type="http://schemas.openxmlformats.org/officeDocument/2006/relationships/hyperlink" Target="https://www.dropbox.com/s/1vd6urm7mvw33sp/22.08%20Plough%20grasscutting%20July%2022%20invoice%202757.pdf?dl=0" TargetMode="External"/><Relationship Id="rId79" Type="http://schemas.openxmlformats.org/officeDocument/2006/relationships/hyperlink" Target="https://www.dropbox.com/s/shru0xvmxaawyw3/22.09%20SSE%20Sept%20inv%20for%20Aug%20cons.pdf?dl=0" TargetMode="External"/><Relationship Id="rId102" Type="http://schemas.openxmlformats.org/officeDocument/2006/relationships/hyperlink" Target="https://www.dropbox.com/s/ky9umoxuhpoorhn/22.12%20REDallotment%20pond%20groundworks%20invoice.pdf?dl=0" TargetMode="External"/><Relationship Id="rId5" Type="http://schemas.openxmlformats.org/officeDocument/2006/relationships/hyperlink" Target="https://www.dropbox.com/s/2172piioy72g5ij/22.04%20%20RED%20BCN%20invoice%20for%20enviro%20data.pdf?dl=0" TargetMode="External"/><Relationship Id="rId90" Type="http://schemas.openxmlformats.org/officeDocument/2006/relationships/hyperlink" Target="https://www.dropbox.com/s/2eu641llfj8am4k/22.10%20Amazon%20printer.pdf?dl=0" TargetMode="External"/><Relationship Id="rId95" Type="http://schemas.openxmlformats.org/officeDocument/2006/relationships/hyperlink" Target="https://www.dropbox.com/s/0yqowvv8eayu3rl/22.12%20SSE.pdf?dl=0" TargetMode="External"/><Relationship Id="rId22" Type="http://schemas.openxmlformats.org/officeDocument/2006/relationships/hyperlink" Target="https://www.dropbox.com/s/vl4zb5w1zceya9f/22.05%20Etsy%20Purchase%20from%20DolphinRosettes%20%282464919111%29.pdf?dl=0" TargetMode="External"/><Relationship Id="rId27" Type="http://schemas.openxmlformats.org/officeDocument/2006/relationships/hyperlink" Target="https://www.dropbox.com/s/2v64du7y6vzy7i2/22.05%20Amazon%20cape.pdf?dl=0" TargetMode="External"/><Relationship Id="rId43" Type="http://schemas.openxmlformats.org/officeDocument/2006/relationships/hyperlink" Target="https://www.dropbox.com/s/3jmx08f3rho8a9g/22.05%20Amazon%20bins.pdf?dl=0" TargetMode="External"/><Relationship Id="rId48" Type="http://schemas.openxmlformats.org/officeDocument/2006/relationships/hyperlink" Target="https://www.dropbox.com/s/v91w1yabfcy114g/22.06%20Jubilee%20loo%20padlock%20Amazon.pdf?dl=0" TargetMode="External"/><Relationship Id="rId64" Type="http://schemas.openxmlformats.org/officeDocument/2006/relationships/hyperlink" Target="https://www.dropbox.com/s/rcbux8vodihjyhz/22.07%20SSE%20July%20inv%20for%20June%20consumption.pdf?dl=0" TargetMode="External"/><Relationship Id="rId69" Type="http://schemas.openxmlformats.org/officeDocument/2006/relationships/hyperlink" Target="https://www.dropbox.com/s/po4tgrnavf4ugte/22.07%20Plough%20June%20cuts%20invoice%202746.pdf?dl=0" TargetMode="External"/><Relationship Id="rId113" Type="http://schemas.openxmlformats.org/officeDocument/2006/relationships/printerSettings" Target="../printerSettings/printerSettings10.bin"/><Relationship Id="rId80" Type="http://schemas.openxmlformats.org/officeDocument/2006/relationships/hyperlink" Target="https://www.dropbox.com/s/uwb37n7dcfn10kf/22.07%20TSOhost%20domain%20renewal%20Invoice-7111403.pdf?dl=0" TargetMode="External"/><Relationship Id="rId85" Type="http://schemas.openxmlformats.org/officeDocument/2006/relationships/hyperlink" Target="https://www.dropbox.com/s/o7v95p4oc52rtm0/22.10%20plough%20merged.pdf?dl=0" TargetMode="External"/><Relationship Id="rId12" Type="http://schemas.openxmlformats.org/officeDocument/2006/relationships/hyperlink" Target="https://www.dropbox.com/s/gj6kbz9sl72sm35/22.04%20Amazon%20bunting%20jubilee.pdf?dl=0" TargetMode="External"/><Relationship Id="rId17" Type="http://schemas.openxmlformats.org/officeDocument/2006/relationships/hyperlink" Target="https://www.dropbox.com/s/ruvup36fyccck66/22.04%20Amazon%20primer.pdf?dl=0" TargetMode="External"/><Relationship Id="rId33" Type="http://schemas.openxmlformats.org/officeDocument/2006/relationships/hyperlink" Target="https://www.dropbox.com/s/cu8u6wt4wy4bmod/22.05%20Amazon%20jubilee%20rope.pdf?dl=0" TargetMode="External"/><Relationship Id="rId38" Type="http://schemas.openxmlformats.org/officeDocument/2006/relationships/hyperlink" Target="https://www.dropbox.com/s/r5wyti1hkie0ui5/22.05%20Amazon%20prizes%20-%20bags.pdf?dl=0" TargetMode="External"/><Relationship Id="rId59" Type="http://schemas.openxmlformats.org/officeDocument/2006/relationships/hyperlink" Target="https://www.dropbox.com/s/niroqn75sa5y85d/22.06%20dome%20tent%20and%20games%20from%20Bigfoot%20Liesure%20Ltd%20balance.pdf?dl=0" TargetMode="External"/><Relationship Id="rId103" Type="http://schemas.openxmlformats.org/officeDocument/2006/relationships/hyperlink" Target="https://www.dropbox.com/s/cweqiee6o4mebi8/23.01%20SSE%20Dec%20cons.pdf?dl=0" TargetMode="External"/><Relationship Id="rId108" Type="http://schemas.openxmlformats.org/officeDocument/2006/relationships/hyperlink" Target="https://www.dropbox.com/s/yfo7uvq667gn67b/23.03%20RED%20Invoice_1882_from_Nene_Valley_Tree_Services_Limited.pdf?dl=0" TargetMode="External"/><Relationship Id="rId54" Type="http://schemas.openxmlformats.org/officeDocument/2006/relationships/hyperlink" Target="https://www.dropbox.com/s/adljv7edu8wywbz/22.06%20BHIB%20insurance.pdf?dl=0" TargetMode="External"/><Relationship Id="rId70" Type="http://schemas.openxmlformats.org/officeDocument/2006/relationships/hyperlink" Target="https://www.dropbox.com/s/v2s8ojf8tly23ub/22.07%20Parish%20Online%20Invoice-34UD034-0005.pdf?dl=0" TargetMode="External"/><Relationship Id="rId75" Type="http://schemas.openxmlformats.org/officeDocument/2006/relationships/hyperlink" Target="https://www.dropbox.com/s/1ww4j2jijn9aozs/22.08%20HME%20mower%20Invoice_146879.PDF?dl=0" TargetMode="External"/><Relationship Id="rId91" Type="http://schemas.openxmlformats.org/officeDocument/2006/relationships/hyperlink" Target="https://www.dropbox.com/s/fua1bqp2ahh8yqo/22.11%20SSE%20Nov%20Inv%20for%20Oct%20cons.pdf?dl=0" TargetMode="External"/><Relationship Id="rId96" Type="http://schemas.openxmlformats.org/officeDocument/2006/relationships/hyperlink" Target="https://www.dropbox.com/s/t30oh7ljodt1mk9/22.12%20Ncalc%20VAT%20Invoice%20INV-2471.pdf?dl=0" TargetMode="External"/><Relationship Id="rId1" Type="http://schemas.openxmlformats.org/officeDocument/2006/relationships/hyperlink" Target="https://www.dropbox.com/s/sy5hi9chf5hluk4/22.04%20SSE.pdf?dl=0" TargetMode="External"/><Relationship Id="rId6" Type="http://schemas.openxmlformats.org/officeDocument/2006/relationships/hyperlink" Target="https://www.dropbox.com/s/mv8rhayh3d6ay1r/22.04%20ElanCity%20RED%20SID%20SAJ-UK_2022_00640.pdf?dl=0" TargetMode="External"/><Relationship Id="rId15" Type="http://schemas.openxmlformats.org/officeDocument/2006/relationships/hyperlink" Target="https://www.dropbox.com/s/2zadw9la8z4vw6o/22.04%20AmazonBusinessInvoiceINV-GB-160439221-2022-119449%20Jubilee%20rope.pdf?dl=0" TargetMode="External"/><Relationship Id="rId23" Type="http://schemas.openxmlformats.org/officeDocument/2006/relationships/hyperlink" Target="https://www.dropbox.com/s/cymok9qks5r78l7/22.04%20bean%20bags%20Invoice%20-%20100032592.pdf?dl=0" TargetMode="External"/><Relationship Id="rId28" Type="http://schemas.openxmlformats.org/officeDocument/2006/relationships/hyperlink" Target="https://www.dropbox.com/s/1x1ojop5l21y2fi/22.05%20Amazon%20printed%20frames.pdf?dl=0" TargetMode="External"/><Relationship Id="rId36" Type="http://schemas.openxmlformats.org/officeDocument/2006/relationships/hyperlink" Target="https://www.dropbox.com/s/v7jl6ufps2xui64/22.05%20AMTInvoice%20306484%20150422.pdf?dl=0" TargetMode="External"/><Relationship Id="rId49" Type="http://schemas.openxmlformats.org/officeDocument/2006/relationships/hyperlink" Target="https://www.dropbox.com/s/ectr274dh46gpil/22.06%20Wells%20Marquees%20REDINVOICE%208966%20JUNE%202022.pdf?dl=0" TargetMode="External"/><Relationship Id="rId57" Type="http://schemas.openxmlformats.org/officeDocument/2006/relationships/hyperlink" Target="https://www.dropbox.com/s/vfj4ee9oksp6d35/22.06%20REDJubilee%20stage%20%26%20disco%20ball.PDF?dl=0" TargetMode="External"/><Relationship Id="rId106" Type="http://schemas.openxmlformats.org/officeDocument/2006/relationships/hyperlink" Target="https://www.dropbox.com/s/cxahsm4afc5uojv/23.02%20GNRP%20Invoice%2000015%20Nassington%20Parish%20Council%202022%202023.pdf?dl=0" TargetMode="External"/><Relationship Id="rId114" Type="http://schemas.openxmlformats.org/officeDocument/2006/relationships/drawing" Target="../drawings/drawing9.xml"/><Relationship Id="rId10" Type="http://schemas.openxmlformats.org/officeDocument/2006/relationships/hyperlink" Target="https://www.dropbox.com/s/vb26aytv35tcbqn/22.04%20Amazon%20ShipmentId_40786302677302_2.pdf?dl=0" TargetMode="External"/><Relationship Id="rId31" Type="http://schemas.openxmlformats.org/officeDocument/2006/relationships/hyperlink" Target="https://www.dropbox.com/s/g7g4nrhg7nf933j/22.04%20SSE%20April%20consumption.pdf?dl=0" TargetMode="External"/><Relationship Id="rId44" Type="http://schemas.openxmlformats.org/officeDocument/2006/relationships/hyperlink" Target="https://www.dropbox.com/s/jhinvkzuyickzdy/22.05%20Amazon%20foil%20curtains.pdf?dl=0" TargetMode="External"/><Relationship Id="rId52" Type="http://schemas.openxmlformats.org/officeDocument/2006/relationships/hyperlink" Target="https://www.dropbox.com/s/fml2fto8td6fiv5/22.06%20JubileeRED%20SI-7870_BusinessWatch%20Guarding%20Services%20Ltd.pdf?dl=0" TargetMode="External"/><Relationship Id="rId60" Type="http://schemas.openxmlformats.org/officeDocument/2006/relationships/hyperlink" Target="https://www.dropbox.com/s/hvkrslvlf2uvr8k/22.06%20Gazebo%20pegs%20Amazon.pdf?dl=0" TargetMode="External"/><Relationship Id="rId65" Type="http://schemas.openxmlformats.org/officeDocument/2006/relationships/hyperlink" Target="https://www.dropbox.com/s/m03we27ybvdu9qk/22.07%20Insurance%20reinstatement%20desk%20assessment%20Nassington%20Parish%20Council%20-%20I-33851-M9X1.pdf?dl=0" TargetMode="External"/><Relationship Id="rId73" Type="http://schemas.openxmlformats.org/officeDocument/2006/relationships/hyperlink" Target="https://www.dropbox.com/s/cpgpg6x0j77qbz4/22.08%20PKF%20audit%20NH0164.pdf?dl=0" TargetMode="External"/><Relationship Id="rId78" Type="http://schemas.openxmlformats.org/officeDocument/2006/relationships/hyperlink" Target="https://www.dropbox.com/s/c954kzb3ir9o1u2/22.07%20Amazon%20battery%20charger.pdf?dl=0" TargetMode="External"/><Relationship Id="rId81" Type="http://schemas.openxmlformats.org/officeDocument/2006/relationships/hyperlink" Target="https://www.dropbox.com/s/qht4xiqc84q379r/22.08%20August%20PAID%20digger%20hire.pdf?dl=0" TargetMode="External"/><Relationship Id="rId86" Type="http://schemas.openxmlformats.org/officeDocument/2006/relationships/hyperlink" Target="https://www.dropbox.com/s/crfz024vb8vn3cn/22.10%20TsoHost%20SSL%20cert%20Invoice-7209437.pdf?dl=0" TargetMode="External"/><Relationship Id="rId94" Type="http://schemas.openxmlformats.org/officeDocument/2006/relationships/hyperlink" Target="https://www.dropbox.com/s/3e63hodhv4rihrp/22.11%20Your%20locale%20NP%20invoice%206.pdf?dl=0" TargetMode="External"/><Relationship Id="rId99" Type="http://schemas.openxmlformats.org/officeDocument/2006/relationships/hyperlink" Target="https://www.dropbox.com/s/b9kp8b9g1xrct01/22.12%20123%20website%2060139777.pdf?dl=0" TargetMode="External"/><Relationship Id="rId101" Type="http://schemas.openxmlformats.org/officeDocument/2006/relationships/hyperlink" Target="https://www.dropbox.com/s/j02v6f1l76pavez/22.12%20BSH%20Invoice.PDF?dl=0" TargetMode="External"/><Relationship Id="rId4" Type="http://schemas.openxmlformats.org/officeDocument/2006/relationships/hyperlink" Target="https://www.dropbox.com/s/3li3etmb9abglcl/22.04%20Easiprint%20Invoice%20RED%20%20No.%206362.pdf?dl=0" TargetMode="External"/><Relationship Id="rId9" Type="http://schemas.openxmlformats.org/officeDocument/2006/relationships/hyperlink" Target="https://www.dropbox.com/s/lsh8jced5xok3ro/22.04%20ShipmentId_40786302677302_3.pdf?dl=0" TargetMode="External"/><Relationship Id="rId13" Type="http://schemas.openxmlformats.org/officeDocument/2006/relationships/hyperlink" Target="https://www.dropbox.com/s/m1vz9a6xbgs3xlg/22.04%20Amazon%20wisteria.pdf?dl=0" TargetMode="External"/><Relationship Id="rId18" Type="http://schemas.openxmlformats.org/officeDocument/2006/relationships/hyperlink" Target="https://www.dropbox.com/s/09ypd9ce221km7f/22.04%20Party%20Chest%20-%20Your%20Order.pdf?dl=0" TargetMode="External"/><Relationship Id="rId39" Type="http://schemas.openxmlformats.org/officeDocument/2006/relationships/hyperlink" Target="https://www.dropbox.com/s/c4oqkjqxxiom7in/22.05%20Amazon%20glasses.pdf?dl=0" TargetMode="External"/><Relationship Id="rId109" Type="http://schemas.openxmlformats.org/officeDocument/2006/relationships/hyperlink" Target="https://www.dropbox.com/s/uo39o9a2eg7uvjr/23.02%20SSE%20February.pdf?dl=0" TargetMode="External"/><Relationship Id="rId34" Type="http://schemas.openxmlformats.org/officeDocument/2006/relationships/hyperlink" Target="https://www.dropbox.com/s/xpqett6r2midgyj/22.05%20Amazon%20queen%20masks.pdf?dl=0" TargetMode="External"/><Relationship Id="rId50" Type="http://schemas.openxmlformats.org/officeDocument/2006/relationships/hyperlink" Target="https://www.dropbox.com/s/3ehjc2vgu6ay647/22.06%20Jubilee%20cable%20ties%20Amazon.pdf?dl=0" TargetMode="External"/><Relationship Id="rId55" Type="http://schemas.openxmlformats.org/officeDocument/2006/relationships/hyperlink" Target="https://www.dropbox.com/s/jkq9yn9jdmfnuj9/22.06%20Jubilee%20cable%20guard%20AmazonBusinessInvoice.pdf?dl=0" TargetMode="External"/><Relationship Id="rId76" Type="http://schemas.openxmlformats.org/officeDocument/2006/relationships/hyperlink" Target="https://www.dropbox.com/s/etj9dwoj868wrdy/22.07%20NCALC%20Invoice%20INV-2014.pdf?dl=0" TargetMode="External"/><Relationship Id="rId97" Type="http://schemas.openxmlformats.org/officeDocument/2006/relationships/hyperlink" Target="https://www.dropbox.com/s/m4eevqx1ni7e2kw/22.12%20Easiprint%20hub%20flyers%20Invoice%20No.%207566.pdf?dl=0" TargetMode="External"/><Relationship Id="rId104" Type="http://schemas.openxmlformats.org/officeDocument/2006/relationships/hyperlink" Target="https://www.dropbox.com/s/zmp60n2hft9kkci/23.02%20SSE.pdf?dl=0" TargetMode="External"/><Relationship Id="rId7" Type="http://schemas.openxmlformats.org/officeDocument/2006/relationships/hyperlink" Target="https://www.dropbox.com/s/gvqsd71wz4a6r77/22.04%20Invoice%20No.341%20RED%20Nassington%20Tree%20Survey.pdf?dl=0" TargetMode="External"/><Relationship Id="rId71" Type="http://schemas.openxmlformats.org/officeDocument/2006/relationships/hyperlink" Target="https://www.dropbox.com/s/qht4xiqc84q379r/22.08%20August%20PAID%20digger%20hire.pdf?dl=0" TargetMode="External"/><Relationship Id="rId92" Type="http://schemas.openxmlformats.org/officeDocument/2006/relationships/hyperlink" Target="https://www.dropbox.com/s/q39hee4ifmldd8u/22.11%20CHT%2013982%20SALES%20INVOICE%20Nassington%20PC.pdf?dl=0" TargetMode="External"/><Relationship Id="rId2" Type="http://schemas.openxmlformats.org/officeDocument/2006/relationships/hyperlink" Target="https://www.dropbox.com/s/13kaq390gu0feh8/22.04%20TENS%20licence%20Payment%20Authentication%20Receipt%20-%20DO%20NOT%20REPLY%20TO%20THIS%20E-MAIL.pdf?dl=0" TargetMode="External"/><Relationship Id="rId29" Type="http://schemas.openxmlformats.org/officeDocument/2006/relationships/hyperlink" Target="https://www.dropbox.com/s/p4ue5gmvs23v9mn/22.05%20Amazon%20floral%20decs.pdf?dl=0" TargetMode="External"/><Relationship Id="rId24" Type="http://schemas.openxmlformats.org/officeDocument/2006/relationships/hyperlink" Target="https://www.dropbox.com/s/cymok9qks5r78l7/22.04%20bean%20bags%20Invoice%20-%20100032592.pdf?dl=0" TargetMode="External"/><Relationship Id="rId40" Type="http://schemas.openxmlformats.org/officeDocument/2006/relationships/hyperlink" Target="https://www.dropbox.com/s/fjf0rjwc735wmnl/22.05%20Mower%20Express%20brush%20cutter.pdf?dl=0" TargetMode="External"/><Relationship Id="rId45" Type="http://schemas.openxmlformats.org/officeDocument/2006/relationships/hyperlink" Target="https://www.dropbox.com/s/107w4ev4i1l2j0m/22.06%20Jubilee%20puzzle.pdf?dl=0" TargetMode="External"/><Relationship Id="rId66" Type="http://schemas.openxmlformats.org/officeDocument/2006/relationships/hyperlink" Target="https://www.dropbox.com/s/85rb4guinhmbsad/SLCC%20membership.png?dl=0" TargetMode="External"/><Relationship Id="rId87" Type="http://schemas.openxmlformats.org/officeDocument/2006/relationships/hyperlink" Target="https://www.dropbox.com/s/ie9k998a9i669wi/22.08%20NNC%20bin%20emptying%20so13f2lgss_16_315737.pdf?dl=0" TargetMode="External"/><Relationship Id="rId110" Type="http://schemas.openxmlformats.org/officeDocument/2006/relationships/hyperlink" Target="https://www.dropbox.com/s/yoeh33wrzd8mksz/23.03%20Farm%20Forestry%20order%20tree%20guard.pdf?dl=0" TargetMode="External"/><Relationship Id="rId115" Type="http://schemas.openxmlformats.org/officeDocument/2006/relationships/table" Target="../tables/table1.xml"/><Relationship Id="rId61" Type="http://schemas.openxmlformats.org/officeDocument/2006/relationships/hyperlink" Target="https://www.dropbox.com/s/21oqe730jz0uw2a/22.06%20VGA%20cable%20AmazonBusinessInvoice.pdf?dl=0" TargetMode="External"/><Relationship Id="rId82" Type="http://schemas.openxmlformats.org/officeDocument/2006/relationships/hyperlink" Target="https://www.dropbox.com/s/9htan33ezkagpvq/22.10%20SSE%20Oct%20Inv%20for%20Sept%20cons.pdf?dl=0" TargetMode="External"/><Relationship Id="rId19" Type="http://schemas.openxmlformats.org/officeDocument/2006/relationships/hyperlink" Target="https://www.dropbox.com/s/11rjdldavmmvgnp/22.04%20Allport%20Order.pdf?dl=0" TargetMode="External"/><Relationship Id="rId14" Type="http://schemas.openxmlformats.org/officeDocument/2006/relationships/hyperlink" Target="https://www.dropbox.com/s/2zadw9la8z4vw6o/22.04%20AmazonBusinessInvoiceINV-GB-160439221-2022-119449%20Jubilee%20rope.pdf?dl=0" TargetMode="External"/><Relationship Id="rId30" Type="http://schemas.openxmlformats.org/officeDocument/2006/relationships/hyperlink" Target="https://www.dropbox.com/s/770vp0k5qt35vfr/22.05%20Easiprint%20Maps%20Invoice%20No.%206453.pdf?dl=0" TargetMode="External"/><Relationship Id="rId35" Type="http://schemas.openxmlformats.org/officeDocument/2006/relationships/hyperlink" Target="https://www.dropbox.com/s/4178eqerxunjr80/22.05%20Amazon%20frames.pdf?dl=0" TargetMode="External"/><Relationship Id="rId56" Type="http://schemas.openxmlformats.org/officeDocument/2006/relationships/hyperlink" Target="https://www.dropbox.com/s/cex0xe4bxatzqxr/22.06%20RED%20festoon%20lighting%20invoice.PDF?dl=0" TargetMode="External"/><Relationship Id="rId77" Type="http://schemas.openxmlformats.org/officeDocument/2006/relationships/hyperlink" Target="https://www.dropbox.com/s/nbyu18lpqvbfqob/22.07%20Amazon%20spare%20battery.pdf?dl=0" TargetMode="External"/><Relationship Id="rId100" Type="http://schemas.openxmlformats.org/officeDocument/2006/relationships/hyperlink" Target="https://www.dropbox.com/s/9mt5olcv4vas2f7/22.12%20123%20website%2060183925.pdf?dl=0" TargetMode="External"/><Relationship Id="rId105" Type="http://schemas.openxmlformats.org/officeDocument/2006/relationships/hyperlink" Target="https://www.dropbox.com/s/o5mcjce4if668rn/23.02%20AmazonBusinessInvoice%231PVP-XH99-DWLJ%20gloves.pdf?dl=0" TargetMode="External"/><Relationship Id="rId8" Type="http://schemas.openxmlformats.org/officeDocument/2006/relationships/hyperlink" Target="https://www.dropbox.com/s/5cjfc22vy1xsg2s/22.04%20AmazonBusinessInvoiceGB21J7MJXAEUI.pdf?dl=0" TargetMode="External"/><Relationship Id="rId51" Type="http://schemas.openxmlformats.org/officeDocument/2006/relationships/hyperlink" Target="https://www.dropbox.com/s/zjzde8buqyd4aeh/22.06%20Jubilee%20fairy%20light%20clips%20Amazon.pdf?dl=0" TargetMode="External"/><Relationship Id="rId72" Type="http://schemas.openxmlformats.org/officeDocument/2006/relationships/hyperlink" Target="https://www.dropbox.com/s/zg7j8psqr0th43o/22.08%20SSE%20AUg%20inv%20for%20July%20cons.pdf?dl=0" TargetMode="External"/><Relationship Id="rId93" Type="http://schemas.openxmlformats.org/officeDocument/2006/relationships/hyperlink" Target="https://www.dropbox.com/s/hy3m38lwaqf1cc7/22.11%20Plough%20Oct%2022%20Invoice%202792.pdf?dl=0" TargetMode="External"/><Relationship Id="rId98" Type="http://schemas.openxmlformats.org/officeDocument/2006/relationships/hyperlink" Target="https://www.dropbox.com/s/l4tuk92vh3q1jqy/22.12%20Pestforce%20Invoice.pdf?dl=0" TargetMode="External"/><Relationship Id="rId3" Type="http://schemas.openxmlformats.org/officeDocument/2006/relationships/hyperlink" Target="https://www.dropbox.com/s/beirfasi9oaz2ob/22.04%20Data%20Protection%20fee%20-%20Reminder%20to%20renew%20ICO_00019602557.pdf?dl=0" TargetMode="External"/><Relationship Id="rId25" Type="http://schemas.openxmlformats.org/officeDocument/2006/relationships/hyperlink" Target="https://www.dropbox.com/s/e76nu2pu1vpmioh/22.05%20Party%20Place.pdf?dl=0" TargetMode="External"/><Relationship Id="rId46" Type="http://schemas.openxmlformats.org/officeDocument/2006/relationships/hyperlink" Target="https://www.dropbox.com/s/gikei473rwsks3s/22.06%20Jubilee%20masks.pdf?dl=0" TargetMode="External"/><Relationship Id="rId67" Type="http://schemas.openxmlformats.org/officeDocument/2006/relationships/hyperlink" Target="https://www.dropbox.com/s/etj9dwoj868wrdy/22.07%20NCALC%20Invoice%20INV-2014.pdf?dl=0" TargetMode="External"/><Relationship Id="rId20" Type="http://schemas.openxmlformats.org/officeDocument/2006/relationships/hyperlink" Target="https://www.dropbox.com/s/bn37t3wc538u8jp/22.04%20Rent%20Event%20order%20receipt%20from%2026th%20April%202022.pdf?dl=0" TargetMode="External"/><Relationship Id="rId41" Type="http://schemas.openxmlformats.org/officeDocument/2006/relationships/hyperlink" Target="https://www.dropbox.com/s/owib1zzjcf0nt7g/22.05%20Mower%20Express%20battery.pdf?dl=0" TargetMode="External"/><Relationship Id="rId62" Type="http://schemas.openxmlformats.org/officeDocument/2006/relationships/hyperlink" Target="https://www.dropbox.com/s/svxg70f1lflqbjw/22.06%20SSE%20May%20usage%20streetlight%20power.pdf?dl=0" TargetMode="External"/><Relationship Id="rId83" Type="http://schemas.openxmlformats.org/officeDocument/2006/relationships/hyperlink" Target="https://www.dropbox.com/s/6ahwzpbw2fs9g7j/22.11%20RBL%20poppy%20wreath.pdf?dl=0" TargetMode="External"/><Relationship Id="rId88" Type="http://schemas.openxmlformats.org/officeDocument/2006/relationships/hyperlink" Target="https://www.dropbox.com/s/cvengxo1i0l44jn/22.09%20Amazon%20condolence%20book.pdf?dl=0" TargetMode="External"/><Relationship Id="rId111" Type="http://schemas.openxmlformats.org/officeDocument/2006/relationships/hyperlink" Target="https://www.dropbox.com/s/932uj3ucwqen9vn/23.03%20Hedges%20Order%20Number_%20SR86QB10277192.pdf?dl=0"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dropbox.com/s/pru12a4dx0rcal0/22.05%20gazebo%20invoice-4486.pdf?dl=0" TargetMode="External"/><Relationship Id="rId21" Type="http://schemas.openxmlformats.org/officeDocument/2006/relationships/hyperlink" Target="https://www.dropbox.com/s/robbdd73l7dy9kz/22.05%20Land%20registry%20WorldPay%20CARD%20transaction%20Confirmation.pdf?dl=0" TargetMode="External"/><Relationship Id="rId42" Type="http://schemas.openxmlformats.org/officeDocument/2006/relationships/hyperlink" Target="https://www.dropbox.com/s/k1yane1p8m283v5/22.05%20Duke%20valley%20glasses.pdf?dl=0" TargetMode="External"/><Relationship Id="rId47" Type="http://schemas.openxmlformats.org/officeDocument/2006/relationships/hyperlink" Target="https://www.dropbox.com/s/1d8olufi8n5lnka/22.06%20Amazon%20selfies%20decorations.pdf?dl=0" TargetMode="External"/><Relationship Id="rId63" Type="http://schemas.openxmlformats.org/officeDocument/2006/relationships/hyperlink" Target="https://www.dropbox.com/s/dfpfwz1c9lpkgs2/22.06%20%20B%26QPayPal%20SID%20straps.pdf?dl=0" TargetMode="External"/><Relationship Id="rId68" Type="http://schemas.openxmlformats.org/officeDocument/2006/relationships/hyperlink" Target="https://www.dropbox.com/s/5iin8tddipi5yti/22.07%20YNBB%20Nassington%20Jubilee%20invoice%20June%202022.pdf?dl=0" TargetMode="External"/><Relationship Id="rId84" Type="http://schemas.openxmlformats.org/officeDocument/2006/relationships/hyperlink" Target="https://www.dropbox.com/s/hmw9op5fsn1pllj/22.09%20Easiprint%20Invoice%20No.%207154.pdf?dl=0" TargetMode="External"/><Relationship Id="rId89" Type="http://schemas.openxmlformats.org/officeDocument/2006/relationships/hyperlink" Target="https://www.dropbox.com/s/5ibiaua3n8gfi3f/22.10%20amzon%20sundries%20merged.pdf?dl=0" TargetMode="External"/><Relationship Id="rId112" Type="http://schemas.openxmlformats.org/officeDocument/2006/relationships/hyperlink" Target="https://www.dropbox.com/s/pn2vysy96tjcd90/23.03%20Farm%20Forestry%20order%20tree%20guardREFUND.pdf?dl=0" TargetMode="External"/><Relationship Id="rId16" Type="http://schemas.openxmlformats.org/officeDocument/2006/relationships/hyperlink" Target="https://www.dropbox.com/s/u7apbdz50x4qgag/22.04%20AmazonBusinessInvoiceGB21J7U99AEUI%20Jubilee%20cutout.pdf?dl=0" TargetMode="External"/><Relationship Id="rId107" Type="http://schemas.openxmlformats.org/officeDocument/2006/relationships/hyperlink" Target="https://www.dropbox.com/s/h6jc5qla9ngen5p/23.01%20REDPlough%20Nassington%20Dec%2022%20Invoice%202813.pdf?dl=0" TargetMode="External"/><Relationship Id="rId11" Type="http://schemas.openxmlformats.org/officeDocument/2006/relationships/hyperlink" Target="https://www.dropbox.com/s/hqr7rkdvl68zvz5/22.04%20Amazon%20obilisk%20jubilee.pdf?dl=0" TargetMode="External"/><Relationship Id="rId32" Type="http://schemas.openxmlformats.org/officeDocument/2006/relationships/hyperlink" Target="https://www.dropbox.com/s/86qsbsxjljkznkf/22.05%20Amazon%20stationery.pdf?dl=0" TargetMode="External"/><Relationship Id="rId37" Type="http://schemas.openxmlformats.org/officeDocument/2006/relationships/hyperlink" Target="https://www.dropbox.com/s/ulevaoom7gejz0i/22.05%20Plough%20Apr22%20works%20invoice%202723.pdf?dl=0" TargetMode="External"/><Relationship Id="rId53" Type="http://schemas.openxmlformats.org/officeDocument/2006/relationships/hyperlink" Target="https://www.dropbox.com/s/37d7cw5yuaevp68/22.06%20Party%20Chest%20Invoice.pdf?dl=0" TargetMode="External"/><Relationship Id="rId58" Type="http://schemas.openxmlformats.org/officeDocument/2006/relationships/hyperlink" Target="https://www.dropbox.com/s/71kqn4w0cpsvgaw/22.06%20Tsohost%20webhosting%20invoice.pdf?dl=0" TargetMode="External"/><Relationship Id="rId74" Type="http://schemas.openxmlformats.org/officeDocument/2006/relationships/hyperlink" Target="https://www.dropbox.com/s/1vd6urm7mvw33sp/22.08%20Plough%20grasscutting%20July%2022%20invoice%202757.pdf?dl=0" TargetMode="External"/><Relationship Id="rId79" Type="http://schemas.openxmlformats.org/officeDocument/2006/relationships/hyperlink" Target="https://www.dropbox.com/s/shru0xvmxaawyw3/22.09%20SSE%20Sept%20inv%20for%20Aug%20cons.pdf?dl=0" TargetMode="External"/><Relationship Id="rId102" Type="http://schemas.openxmlformats.org/officeDocument/2006/relationships/hyperlink" Target="https://www.dropbox.com/s/ky9umoxuhpoorhn/22.12%20REDallotment%20pond%20groundworks%20invoice.pdf?dl=0" TargetMode="External"/><Relationship Id="rId5" Type="http://schemas.openxmlformats.org/officeDocument/2006/relationships/hyperlink" Target="https://www.dropbox.com/s/2172piioy72g5ij/22.04%20%20RED%20BCN%20invoice%20for%20enviro%20data.pdf?dl=0" TargetMode="External"/><Relationship Id="rId90" Type="http://schemas.openxmlformats.org/officeDocument/2006/relationships/hyperlink" Target="https://www.dropbox.com/s/2eu641llfj8am4k/22.10%20Amazon%20printer.pdf?dl=0" TargetMode="External"/><Relationship Id="rId95" Type="http://schemas.openxmlformats.org/officeDocument/2006/relationships/hyperlink" Target="https://www.dropbox.com/s/0yqowvv8eayu3rl/22.12%20SSE.pdf?dl=0" TargetMode="External"/><Relationship Id="rId22" Type="http://schemas.openxmlformats.org/officeDocument/2006/relationships/hyperlink" Target="https://www.dropbox.com/s/vl4zb5w1zceya9f/22.05%20Etsy%20Purchase%20from%20DolphinRosettes%20%282464919111%29.pdf?dl=0" TargetMode="External"/><Relationship Id="rId27" Type="http://schemas.openxmlformats.org/officeDocument/2006/relationships/hyperlink" Target="https://www.dropbox.com/s/2v64du7y6vzy7i2/22.05%20Amazon%20cape.pdf?dl=0" TargetMode="External"/><Relationship Id="rId43" Type="http://schemas.openxmlformats.org/officeDocument/2006/relationships/hyperlink" Target="https://www.dropbox.com/s/3jmx08f3rho8a9g/22.05%20Amazon%20bins.pdf?dl=0" TargetMode="External"/><Relationship Id="rId48" Type="http://schemas.openxmlformats.org/officeDocument/2006/relationships/hyperlink" Target="https://www.dropbox.com/s/v91w1yabfcy114g/22.06%20Jubilee%20loo%20padlock%20Amazon.pdf?dl=0" TargetMode="External"/><Relationship Id="rId64" Type="http://schemas.openxmlformats.org/officeDocument/2006/relationships/hyperlink" Target="https://www.dropbox.com/s/rcbux8vodihjyhz/22.07%20SSE%20July%20inv%20for%20June%20consumption.pdf?dl=0" TargetMode="External"/><Relationship Id="rId69" Type="http://schemas.openxmlformats.org/officeDocument/2006/relationships/hyperlink" Target="https://www.dropbox.com/s/po4tgrnavf4ugte/22.07%20Plough%20June%20cuts%20invoice%202746.pdf?dl=0" TargetMode="External"/><Relationship Id="rId113" Type="http://schemas.openxmlformats.org/officeDocument/2006/relationships/printerSettings" Target="../printerSettings/printerSettings3.bin"/><Relationship Id="rId80" Type="http://schemas.openxmlformats.org/officeDocument/2006/relationships/hyperlink" Target="https://www.dropbox.com/s/uwb37n7dcfn10kf/22.07%20TSOhost%20domain%20renewal%20Invoice-7111403.pdf?dl=0" TargetMode="External"/><Relationship Id="rId85" Type="http://schemas.openxmlformats.org/officeDocument/2006/relationships/hyperlink" Target="https://www.dropbox.com/s/o7v95p4oc52rtm0/22.10%20plough%20merged.pdf?dl=0" TargetMode="External"/><Relationship Id="rId12" Type="http://schemas.openxmlformats.org/officeDocument/2006/relationships/hyperlink" Target="https://www.dropbox.com/s/gj6kbz9sl72sm35/22.04%20Amazon%20bunting%20jubilee.pdf?dl=0" TargetMode="External"/><Relationship Id="rId17" Type="http://schemas.openxmlformats.org/officeDocument/2006/relationships/hyperlink" Target="https://www.dropbox.com/s/ruvup36fyccck66/22.04%20Amazon%20primer.pdf?dl=0" TargetMode="External"/><Relationship Id="rId33" Type="http://schemas.openxmlformats.org/officeDocument/2006/relationships/hyperlink" Target="https://www.dropbox.com/s/cu8u6wt4wy4bmod/22.05%20Amazon%20jubilee%20rope.pdf?dl=0" TargetMode="External"/><Relationship Id="rId38" Type="http://schemas.openxmlformats.org/officeDocument/2006/relationships/hyperlink" Target="https://www.dropbox.com/s/r5wyti1hkie0ui5/22.05%20Amazon%20prizes%20-%20bags.pdf?dl=0" TargetMode="External"/><Relationship Id="rId59" Type="http://schemas.openxmlformats.org/officeDocument/2006/relationships/hyperlink" Target="https://www.dropbox.com/s/niroqn75sa5y85d/22.06%20dome%20tent%20and%20games%20from%20Bigfoot%20Liesure%20Ltd%20balance.pdf?dl=0" TargetMode="External"/><Relationship Id="rId103" Type="http://schemas.openxmlformats.org/officeDocument/2006/relationships/hyperlink" Target="https://www.dropbox.com/s/cweqiee6o4mebi8/23.01%20SSE%20Dec%20cons.pdf?dl=0" TargetMode="External"/><Relationship Id="rId108" Type="http://schemas.openxmlformats.org/officeDocument/2006/relationships/hyperlink" Target="https://www.dropbox.com/s/yfo7uvq667gn67b/23.03%20RED%20Invoice_1882_from_Nene_Valley_Tree_Services_Limited.pdf?dl=0" TargetMode="External"/><Relationship Id="rId54" Type="http://schemas.openxmlformats.org/officeDocument/2006/relationships/hyperlink" Target="https://www.dropbox.com/s/adljv7edu8wywbz/22.06%20BHIB%20insurance.pdf?dl=0" TargetMode="External"/><Relationship Id="rId70" Type="http://schemas.openxmlformats.org/officeDocument/2006/relationships/hyperlink" Target="https://www.dropbox.com/s/v2s8ojf8tly23ub/22.07%20Parish%20Online%20Invoice-34UD034-0005.pdf?dl=0" TargetMode="External"/><Relationship Id="rId75" Type="http://schemas.openxmlformats.org/officeDocument/2006/relationships/hyperlink" Target="https://www.dropbox.com/s/1ww4j2jijn9aozs/22.08%20HME%20mower%20Invoice_146879.PDF?dl=0" TargetMode="External"/><Relationship Id="rId91" Type="http://schemas.openxmlformats.org/officeDocument/2006/relationships/hyperlink" Target="https://www.dropbox.com/s/fua1bqp2ahh8yqo/22.11%20SSE%20Nov%20Inv%20for%20Oct%20cons.pdf?dl=0" TargetMode="External"/><Relationship Id="rId96" Type="http://schemas.openxmlformats.org/officeDocument/2006/relationships/hyperlink" Target="https://www.dropbox.com/s/t30oh7ljodt1mk9/22.12%20Ncalc%20VAT%20Invoice%20INV-2471.pdf?dl=0" TargetMode="External"/><Relationship Id="rId1" Type="http://schemas.openxmlformats.org/officeDocument/2006/relationships/hyperlink" Target="https://www.dropbox.com/s/sy5hi9chf5hluk4/22.04%20SSE.pdf?dl=0" TargetMode="External"/><Relationship Id="rId6" Type="http://schemas.openxmlformats.org/officeDocument/2006/relationships/hyperlink" Target="https://www.dropbox.com/s/mv8rhayh3d6ay1r/22.04%20ElanCity%20RED%20SID%20SAJ-UK_2022_00640.pdf?dl=0" TargetMode="External"/><Relationship Id="rId15" Type="http://schemas.openxmlformats.org/officeDocument/2006/relationships/hyperlink" Target="https://www.dropbox.com/s/2zadw9la8z4vw6o/22.04%20AmazonBusinessInvoiceINV-GB-160439221-2022-119449%20Jubilee%20rope.pdf?dl=0" TargetMode="External"/><Relationship Id="rId23" Type="http://schemas.openxmlformats.org/officeDocument/2006/relationships/hyperlink" Target="https://www.dropbox.com/s/cymok9qks5r78l7/22.04%20bean%20bags%20Invoice%20-%20100032592.pdf?dl=0" TargetMode="External"/><Relationship Id="rId28" Type="http://schemas.openxmlformats.org/officeDocument/2006/relationships/hyperlink" Target="https://www.dropbox.com/s/1x1ojop5l21y2fi/22.05%20Amazon%20printed%20frames.pdf?dl=0" TargetMode="External"/><Relationship Id="rId36" Type="http://schemas.openxmlformats.org/officeDocument/2006/relationships/hyperlink" Target="https://www.dropbox.com/s/v7jl6ufps2xui64/22.05%20AMTInvoice%20306484%20150422.pdf?dl=0" TargetMode="External"/><Relationship Id="rId49" Type="http://schemas.openxmlformats.org/officeDocument/2006/relationships/hyperlink" Target="https://www.dropbox.com/s/ectr274dh46gpil/22.06%20Wells%20Marquees%20REDINVOICE%208966%20JUNE%202022.pdf?dl=0" TargetMode="External"/><Relationship Id="rId57" Type="http://schemas.openxmlformats.org/officeDocument/2006/relationships/hyperlink" Target="https://www.dropbox.com/s/vfj4ee9oksp6d35/22.06%20REDJubilee%20stage%20%26%20disco%20ball.PDF?dl=0" TargetMode="External"/><Relationship Id="rId106" Type="http://schemas.openxmlformats.org/officeDocument/2006/relationships/hyperlink" Target="https://www.dropbox.com/s/cxahsm4afc5uojv/23.02%20GNRP%20Invoice%2000015%20Nassington%20Parish%20Council%202022%202023.pdf?dl=0" TargetMode="External"/><Relationship Id="rId114" Type="http://schemas.openxmlformats.org/officeDocument/2006/relationships/drawing" Target="../drawings/drawing3.xml"/><Relationship Id="rId10" Type="http://schemas.openxmlformats.org/officeDocument/2006/relationships/hyperlink" Target="https://www.dropbox.com/s/vb26aytv35tcbqn/22.04%20Amazon%20ShipmentId_40786302677302_2.pdf?dl=0" TargetMode="External"/><Relationship Id="rId31" Type="http://schemas.openxmlformats.org/officeDocument/2006/relationships/hyperlink" Target="https://www.dropbox.com/s/g7g4nrhg7nf933j/22.04%20SSE%20April%20consumption.pdf?dl=0" TargetMode="External"/><Relationship Id="rId44" Type="http://schemas.openxmlformats.org/officeDocument/2006/relationships/hyperlink" Target="https://www.dropbox.com/s/jhinvkzuyickzdy/22.05%20Amazon%20foil%20curtains.pdf?dl=0" TargetMode="External"/><Relationship Id="rId52" Type="http://schemas.openxmlformats.org/officeDocument/2006/relationships/hyperlink" Target="https://www.dropbox.com/s/fml2fto8td6fiv5/22.06%20JubileeRED%20SI-7870_BusinessWatch%20Guarding%20Services%20Ltd.pdf?dl=0" TargetMode="External"/><Relationship Id="rId60" Type="http://schemas.openxmlformats.org/officeDocument/2006/relationships/hyperlink" Target="https://www.dropbox.com/s/hvkrslvlf2uvr8k/22.06%20Gazebo%20pegs%20Amazon.pdf?dl=0" TargetMode="External"/><Relationship Id="rId65" Type="http://schemas.openxmlformats.org/officeDocument/2006/relationships/hyperlink" Target="https://www.dropbox.com/s/m03we27ybvdu9qk/22.07%20Insurance%20reinstatement%20desk%20assessment%20Nassington%20Parish%20Council%20-%20I-33851-M9X1.pdf?dl=0" TargetMode="External"/><Relationship Id="rId73" Type="http://schemas.openxmlformats.org/officeDocument/2006/relationships/hyperlink" Target="https://www.dropbox.com/s/cpgpg6x0j77qbz4/22.08%20PKF%20audit%20NH0164.pdf?dl=0" TargetMode="External"/><Relationship Id="rId78" Type="http://schemas.openxmlformats.org/officeDocument/2006/relationships/hyperlink" Target="https://www.dropbox.com/s/c954kzb3ir9o1u2/22.07%20Amazon%20battery%20charger.pdf?dl=0" TargetMode="External"/><Relationship Id="rId81" Type="http://schemas.openxmlformats.org/officeDocument/2006/relationships/hyperlink" Target="https://www.dropbox.com/s/qht4xiqc84q379r/22.08%20August%20PAID%20digger%20hire.pdf?dl=0" TargetMode="External"/><Relationship Id="rId86" Type="http://schemas.openxmlformats.org/officeDocument/2006/relationships/hyperlink" Target="https://www.dropbox.com/s/crfz024vb8vn3cn/22.10%20TsoHost%20SSL%20cert%20Invoice-7209437.pdf?dl=0" TargetMode="External"/><Relationship Id="rId94" Type="http://schemas.openxmlformats.org/officeDocument/2006/relationships/hyperlink" Target="https://www.dropbox.com/s/3e63hodhv4rihrp/22.11%20Your%20locale%20NP%20invoice%206.pdf?dl=0" TargetMode="External"/><Relationship Id="rId99" Type="http://schemas.openxmlformats.org/officeDocument/2006/relationships/hyperlink" Target="https://www.dropbox.com/s/b9kp8b9g1xrct01/22.12%20123%20website%2060139777.pdf?dl=0" TargetMode="External"/><Relationship Id="rId101" Type="http://schemas.openxmlformats.org/officeDocument/2006/relationships/hyperlink" Target="https://www.dropbox.com/s/j02v6f1l76pavez/22.12%20BSH%20Invoice.PDF?dl=0" TargetMode="External"/><Relationship Id="rId4" Type="http://schemas.openxmlformats.org/officeDocument/2006/relationships/hyperlink" Target="https://www.dropbox.com/s/3li3etmb9abglcl/22.04%20Easiprint%20Invoice%20RED%20%20No.%206362.pdf?dl=0" TargetMode="External"/><Relationship Id="rId9" Type="http://schemas.openxmlformats.org/officeDocument/2006/relationships/hyperlink" Target="https://www.dropbox.com/s/lsh8jced5xok3ro/22.04%20ShipmentId_40786302677302_3.pdf?dl=0" TargetMode="External"/><Relationship Id="rId13" Type="http://schemas.openxmlformats.org/officeDocument/2006/relationships/hyperlink" Target="https://www.dropbox.com/s/m1vz9a6xbgs3xlg/22.04%20Amazon%20wisteria.pdf?dl=0" TargetMode="External"/><Relationship Id="rId18" Type="http://schemas.openxmlformats.org/officeDocument/2006/relationships/hyperlink" Target="https://www.dropbox.com/s/09ypd9ce221km7f/22.04%20Party%20Chest%20-%20Your%20Order.pdf?dl=0" TargetMode="External"/><Relationship Id="rId39" Type="http://schemas.openxmlformats.org/officeDocument/2006/relationships/hyperlink" Target="https://www.dropbox.com/s/c4oqkjqxxiom7in/22.05%20Amazon%20glasses.pdf?dl=0" TargetMode="External"/><Relationship Id="rId109" Type="http://schemas.openxmlformats.org/officeDocument/2006/relationships/hyperlink" Target="https://www.dropbox.com/s/uo39o9a2eg7uvjr/23.02%20SSE%20February.pdf?dl=0" TargetMode="External"/><Relationship Id="rId34" Type="http://schemas.openxmlformats.org/officeDocument/2006/relationships/hyperlink" Target="https://www.dropbox.com/s/xpqett6r2midgyj/22.05%20Amazon%20queen%20masks.pdf?dl=0" TargetMode="External"/><Relationship Id="rId50" Type="http://schemas.openxmlformats.org/officeDocument/2006/relationships/hyperlink" Target="https://www.dropbox.com/s/3ehjc2vgu6ay647/22.06%20Jubilee%20cable%20ties%20Amazon.pdf?dl=0" TargetMode="External"/><Relationship Id="rId55" Type="http://schemas.openxmlformats.org/officeDocument/2006/relationships/hyperlink" Target="https://www.dropbox.com/s/jkq9yn9jdmfnuj9/22.06%20Jubilee%20cable%20guard%20AmazonBusinessInvoice.pdf?dl=0" TargetMode="External"/><Relationship Id="rId76" Type="http://schemas.openxmlformats.org/officeDocument/2006/relationships/hyperlink" Target="https://www.dropbox.com/s/etj9dwoj868wrdy/22.07%20NCALC%20Invoice%20INV-2014.pdf?dl=0" TargetMode="External"/><Relationship Id="rId97" Type="http://schemas.openxmlformats.org/officeDocument/2006/relationships/hyperlink" Target="https://www.dropbox.com/s/m4eevqx1ni7e2kw/22.12%20Easiprint%20hub%20flyers%20Invoice%20No.%207566.pdf?dl=0" TargetMode="External"/><Relationship Id="rId104" Type="http://schemas.openxmlformats.org/officeDocument/2006/relationships/hyperlink" Target="https://www.dropbox.com/s/zmp60n2hft9kkci/23.02%20SSE.pdf?dl=0" TargetMode="External"/><Relationship Id="rId7" Type="http://schemas.openxmlformats.org/officeDocument/2006/relationships/hyperlink" Target="https://www.dropbox.com/s/gvqsd71wz4a6r77/22.04%20Invoice%20No.341%20RED%20Nassington%20Tree%20Survey.pdf?dl=0" TargetMode="External"/><Relationship Id="rId71" Type="http://schemas.openxmlformats.org/officeDocument/2006/relationships/hyperlink" Target="https://www.dropbox.com/s/qht4xiqc84q379r/22.08%20August%20PAID%20digger%20hire.pdf?dl=0" TargetMode="External"/><Relationship Id="rId92" Type="http://schemas.openxmlformats.org/officeDocument/2006/relationships/hyperlink" Target="https://www.dropbox.com/s/q39hee4ifmldd8u/22.11%20CHT%2013982%20SALES%20INVOICE%20Nassington%20PC.pdf?dl=0" TargetMode="External"/><Relationship Id="rId2" Type="http://schemas.openxmlformats.org/officeDocument/2006/relationships/hyperlink" Target="https://www.dropbox.com/s/13kaq390gu0feh8/22.04%20TENS%20licence%20Payment%20Authentication%20Receipt%20-%20DO%20NOT%20REPLY%20TO%20THIS%20E-MAIL.pdf?dl=0" TargetMode="External"/><Relationship Id="rId29" Type="http://schemas.openxmlformats.org/officeDocument/2006/relationships/hyperlink" Target="https://www.dropbox.com/s/p4ue5gmvs23v9mn/22.05%20Amazon%20floral%20decs.pdf?dl=0" TargetMode="External"/><Relationship Id="rId24" Type="http://schemas.openxmlformats.org/officeDocument/2006/relationships/hyperlink" Target="https://www.dropbox.com/s/cymok9qks5r78l7/22.04%20bean%20bags%20Invoice%20-%20100032592.pdf?dl=0" TargetMode="External"/><Relationship Id="rId40" Type="http://schemas.openxmlformats.org/officeDocument/2006/relationships/hyperlink" Target="https://www.dropbox.com/s/fjf0rjwc735wmnl/22.05%20Mower%20Express%20brush%20cutter.pdf?dl=0" TargetMode="External"/><Relationship Id="rId45" Type="http://schemas.openxmlformats.org/officeDocument/2006/relationships/hyperlink" Target="https://www.dropbox.com/s/107w4ev4i1l2j0m/22.06%20Jubilee%20puzzle.pdf?dl=0" TargetMode="External"/><Relationship Id="rId66" Type="http://schemas.openxmlformats.org/officeDocument/2006/relationships/hyperlink" Target="https://www.dropbox.com/s/85rb4guinhmbsad/SLCC%20membership.png?dl=0" TargetMode="External"/><Relationship Id="rId87" Type="http://schemas.openxmlformats.org/officeDocument/2006/relationships/hyperlink" Target="https://www.dropbox.com/s/ie9k998a9i669wi/22.08%20NNC%20bin%20emptying%20so13f2lgss_16_315737.pdf?dl=0" TargetMode="External"/><Relationship Id="rId110" Type="http://schemas.openxmlformats.org/officeDocument/2006/relationships/hyperlink" Target="https://www.dropbox.com/s/yoeh33wrzd8mksz/23.03%20Farm%20Forestry%20order%20tree%20guard.pdf?dl=0" TargetMode="External"/><Relationship Id="rId61" Type="http://schemas.openxmlformats.org/officeDocument/2006/relationships/hyperlink" Target="https://www.dropbox.com/s/21oqe730jz0uw2a/22.06%20VGA%20cable%20AmazonBusinessInvoice.pdf?dl=0" TargetMode="External"/><Relationship Id="rId82" Type="http://schemas.openxmlformats.org/officeDocument/2006/relationships/hyperlink" Target="https://www.dropbox.com/s/9htan33ezkagpvq/22.10%20SSE%20Oct%20Inv%20for%20Sept%20cons.pdf?dl=0" TargetMode="External"/><Relationship Id="rId19" Type="http://schemas.openxmlformats.org/officeDocument/2006/relationships/hyperlink" Target="https://www.dropbox.com/s/11rjdldavmmvgnp/22.04%20Allport%20Order.pdf?dl=0" TargetMode="External"/><Relationship Id="rId14" Type="http://schemas.openxmlformats.org/officeDocument/2006/relationships/hyperlink" Target="https://www.dropbox.com/s/2zadw9la8z4vw6o/22.04%20AmazonBusinessInvoiceINV-GB-160439221-2022-119449%20Jubilee%20rope.pdf?dl=0" TargetMode="External"/><Relationship Id="rId30" Type="http://schemas.openxmlformats.org/officeDocument/2006/relationships/hyperlink" Target="https://www.dropbox.com/s/770vp0k5qt35vfr/22.05%20Easiprint%20Maps%20Invoice%20No.%206453.pdf?dl=0" TargetMode="External"/><Relationship Id="rId35" Type="http://schemas.openxmlformats.org/officeDocument/2006/relationships/hyperlink" Target="https://www.dropbox.com/s/4178eqerxunjr80/22.05%20Amazon%20frames.pdf?dl=0" TargetMode="External"/><Relationship Id="rId56" Type="http://schemas.openxmlformats.org/officeDocument/2006/relationships/hyperlink" Target="https://www.dropbox.com/s/cex0xe4bxatzqxr/22.06%20RED%20festoon%20lighting%20invoice.PDF?dl=0" TargetMode="External"/><Relationship Id="rId77" Type="http://schemas.openxmlformats.org/officeDocument/2006/relationships/hyperlink" Target="https://www.dropbox.com/s/nbyu18lpqvbfqob/22.07%20Amazon%20spare%20battery.pdf?dl=0" TargetMode="External"/><Relationship Id="rId100" Type="http://schemas.openxmlformats.org/officeDocument/2006/relationships/hyperlink" Target="https://www.dropbox.com/s/9mt5olcv4vas2f7/22.12%20123%20website%2060183925.pdf?dl=0" TargetMode="External"/><Relationship Id="rId105" Type="http://schemas.openxmlformats.org/officeDocument/2006/relationships/hyperlink" Target="https://www.dropbox.com/s/o5mcjce4if668rn/23.02%20AmazonBusinessInvoice%231PVP-XH99-DWLJ%20gloves.pdf?dl=0" TargetMode="External"/><Relationship Id="rId8" Type="http://schemas.openxmlformats.org/officeDocument/2006/relationships/hyperlink" Target="https://www.dropbox.com/s/5cjfc22vy1xsg2s/22.04%20AmazonBusinessInvoiceGB21J7MJXAEUI.pdf?dl=0" TargetMode="External"/><Relationship Id="rId51" Type="http://schemas.openxmlformats.org/officeDocument/2006/relationships/hyperlink" Target="https://www.dropbox.com/s/zjzde8buqyd4aeh/22.06%20Jubilee%20fairy%20light%20clips%20Amazon.pdf?dl=0" TargetMode="External"/><Relationship Id="rId72" Type="http://schemas.openxmlformats.org/officeDocument/2006/relationships/hyperlink" Target="https://www.dropbox.com/s/zg7j8psqr0th43o/22.08%20SSE%20AUg%20inv%20for%20July%20cons.pdf?dl=0" TargetMode="External"/><Relationship Id="rId93" Type="http://schemas.openxmlformats.org/officeDocument/2006/relationships/hyperlink" Target="https://www.dropbox.com/s/hy3m38lwaqf1cc7/22.11%20Plough%20Oct%2022%20Invoice%202792.pdf?dl=0" TargetMode="External"/><Relationship Id="rId98" Type="http://schemas.openxmlformats.org/officeDocument/2006/relationships/hyperlink" Target="https://www.dropbox.com/s/l4tuk92vh3q1jqy/22.12%20Pestforce%20Invoice.pdf?dl=0" TargetMode="External"/><Relationship Id="rId3" Type="http://schemas.openxmlformats.org/officeDocument/2006/relationships/hyperlink" Target="https://www.dropbox.com/s/beirfasi9oaz2ob/22.04%20Data%20Protection%20fee%20-%20Reminder%20to%20renew%20ICO_00019602557.pdf?dl=0" TargetMode="External"/><Relationship Id="rId25" Type="http://schemas.openxmlformats.org/officeDocument/2006/relationships/hyperlink" Target="https://www.dropbox.com/s/e76nu2pu1vpmioh/22.05%20Party%20Place.pdf?dl=0" TargetMode="External"/><Relationship Id="rId46" Type="http://schemas.openxmlformats.org/officeDocument/2006/relationships/hyperlink" Target="https://www.dropbox.com/s/gikei473rwsks3s/22.06%20Jubilee%20masks.pdf?dl=0" TargetMode="External"/><Relationship Id="rId67" Type="http://schemas.openxmlformats.org/officeDocument/2006/relationships/hyperlink" Target="https://www.dropbox.com/s/etj9dwoj868wrdy/22.07%20NCALC%20Invoice%20INV-2014.pdf?dl=0" TargetMode="External"/><Relationship Id="rId20" Type="http://schemas.openxmlformats.org/officeDocument/2006/relationships/hyperlink" Target="https://www.dropbox.com/s/bn37t3wc538u8jp/22.04%20Rent%20Event%20order%20receipt%20from%2026th%20April%202022.pdf?dl=0" TargetMode="External"/><Relationship Id="rId41" Type="http://schemas.openxmlformats.org/officeDocument/2006/relationships/hyperlink" Target="https://www.dropbox.com/s/owib1zzjcf0nt7g/22.05%20Mower%20Express%20battery.pdf?dl=0" TargetMode="External"/><Relationship Id="rId62" Type="http://schemas.openxmlformats.org/officeDocument/2006/relationships/hyperlink" Target="https://www.dropbox.com/s/svxg70f1lflqbjw/22.06%20SSE%20May%20usage%20streetlight%20power.pdf?dl=0" TargetMode="External"/><Relationship Id="rId83" Type="http://schemas.openxmlformats.org/officeDocument/2006/relationships/hyperlink" Target="https://www.dropbox.com/s/6ahwzpbw2fs9g7j/22.11%20RBL%20poppy%20wreath.pdf?dl=0" TargetMode="External"/><Relationship Id="rId88" Type="http://schemas.openxmlformats.org/officeDocument/2006/relationships/hyperlink" Target="https://www.dropbox.com/s/cvengxo1i0l44jn/22.09%20Amazon%20condolence%20book.pdf?dl=0" TargetMode="External"/><Relationship Id="rId111" Type="http://schemas.openxmlformats.org/officeDocument/2006/relationships/hyperlink" Target="https://www.dropbox.com/s/932uj3ucwqen9vn/23.03%20Hedges%20Order%20Number_%20SR86QB10277192.pdf?dl=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dropbox.com/sh/0ux9ca3ncfbcxqk/AAD7I5cqQIn21aJY7L1AKIHEa?dl=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B1:U43"/>
  <sheetViews>
    <sheetView showGridLines="0" tabSelected="1" workbookViewId="0">
      <selection activeCell="C25" sqref="C25"/>
    </sheetView>
  </sheetViews>
  <sheetFormatPr defaultColWidth="9.140625" defaultRowHeight="15.75"/>
  <cols>
    <col min="1" max="10" width="9.140625" style="143"/>
    <col min="11" max="11" width="9.85546875" style="143" customWidth="1"/>
    <col min="12" max="16384" width="9.140625" style="143"/>
  </cols>
  <sheetData>
    <row r="1" spans="2:21" ht="15" customHeight="1"/>
    <row r="2" spans="2:21" ht="15" customHeight="1">
      <c r="E2" s="144"/>
      <c r="F2" s="144"/>
      <c r="G2" s="144"/>
      <c r="H2" s="144"/>
      <c r="I2" s="144"/>
      <c r="J2" s="144"/>
      <c r="K2" s="144"/>
      <c r="L2" s="144"/>
      <c r="O2" s="145"/>
      <c r="P2" s="146"/>
      <c r="Q2" s="147" t="s">
        <v>198</v>
      </c>
    </row>
    <row r="3" spans="2:21" ht="41.25" customHeight="1">
      <c r="E3" s="148"/>
      <c r="F3" s="149"/>
      <c r="H3" s="150"/>
      <c r="M3" s="543"/>
      <c r="O3" s="545"/>
      <c r="Q3" s="546"/>
      <c r="R3" s="543"/>
      <c r="S3" s="543"/>
      <c r="T3" s="543"/>
      <c r="U3" s="543"/>
    </row>
    <row r="4" spans="2:21" ht="15" customHeight="1">
      <c r="B4" s="144"/>
      <c r="C4" s="144"/>
      <c r="D4" s="553" t="s">
        <v>387</v>
      </c>
      <c r="E4" s="144"/>
      <c r="G4" s="144"/>
      <c r="H4" s="144"/>
      <c r="I4" s="144"/>
      <c r="J4" s="144"/>
      <c r="M4" s="543"/>
      <c r="N4" s="543"/>
      <c r="O4" s="545"/>
      <c r="P4" s="545"/>
      <c r="Q4" s="545"/>
      <c r="R4" s="543"/>
      <c r="S4" s="543"/>
      <c r="T4" s="543"/>
      <c r="U4" s="543"/>
    </row>
    <row r="5" spans="2:21" ht="20.100000000000001" customHeight="1">
      <c r="M5" s="543"/>
      <c r="N5" s="543"/>
      <c r="O5" s="545"/>
      <c r="P5" s="707"/>
      <c r="Q5" s="707"/>
      <c r="R5" s="543"/>
      <c r="S5" s="543"/>
      <c r="T5" s="543"/>
      <c r="U5" s="543"/>
    </row>
    <row r="6" spans="2:21" ht="20.100000000000001" customHeight="1">
      <c r="B6" s="145"/>
      <c r="C6" s="145"/>
      <c r="E6" s="152"/>
      <c r="M6" s="545"/>
      <c r="S6" s="545"/>
      <c r="T6" s="545"/>
      <c r="U6" s="545"/>
    </row>
    <row r="7" spans="2:21" ht="20.100000000000001" customHeight="1">
      <c r="B7" s="145"/>
      <c r="C7" s="145"/>
      <c r="E7" s="152"/>
      <c r="G7" s="145"/>
      <c r="H7" s="145"/>
      <c r="I7" s="145"/>
      <c r="M7" s="545"/>
      <c r="N7" s="547"/>
      <c r="S7" s="545"/>
      <c r="T7" s="545"/>
      <c r="U7" s="545"/>
    </row>
    <row r="8" spans="2:21" ht="20.100000000000001" customHeight="1">
      <c r="B8" s="145"/>
      <c r="C8" s="145"/>
      <c r="D8" s="153" t="s">
        <v>41</v>
      </c>
      <c r="E8" s="152"/>
      <c r="F8" s="154" t="s">
        <v>206</v>
      </c>
      <c r="G8" s="145"/>
      <c r="H8" s="145"/>
      <c r="I8" s="145"/>
      <c r="M8" s="545"/>
      <c r="N8" s="545"/>
      <c r="O8" s="545"/>
      <c r="P8" s="545"/>
      <c r="Q8" s="545"/>
      <c r="R8" s="545"/>
      <c r="S8" s="548"/>
    </row>
    <row r="9" spans="2:21" ht="20.100000000000001" customHeight="1">
      <c r="B9" s="145"/>
      <c r="C9" s="145"/>
      <c r="E9" s="145"/>
      <c r="F9" s="145"/>
      <c r="G9" s="145"/>
      <c r="H9" s="145"/>
      <c r="I9" s="145"/>
      <c r="J9" s="145"/>
      <c r="K9" s="145"/>
      <c r="L9" s="145"/>
      <c r="M9" s="545"/>
      <c r="N9" s="708" t="s">
        <v>49</v>
      </c>
      <c r="O9" s="708"/>
      <c r="P9" s="708"/>
      <c r="Q9" s="708"/>
      <c r="R9" s="708"/>
      <c r="S9" s="708"/>
      <c r="T9" s="545"/>
      <c r="U9" s="545"/>
    </row>
    <row r="10" spans="2:21" ht="20.100000000000001" customHeight="1">
      <c r="B10" s="145"/>
      <c r="D10" s="153" t="s">
        <v>42</v>
      </c>
      <c r="E10" s="155"/>
      <c r="F10" s="154" t="s">
        <v>205</v>
      </c>
      <c r="G10" s="151"/>
      <c r="H10" s="151"/>
      <c r="I10" s="151"/>
      <c r="J10" s="151"/>
      <c r="K10" s="145"/>
      <c r="L10" s="145"/>
      <c r="M10" s="545"/>
      <c r="N10" s="545"/>
      <c r="O10" s="545"/>
      <c r="P10" s="545"/>
      <c r="Q10" s="545"/>
      <c r="R10" s="545"/>
      <c r="S10" s="548"/>
      <c r="T10" s="545"/>
      <c r="U10" s="545"/>
    </row>
    <row r="11" spans="2:21" ht="20.100000000000001" customHeight="1">
      <c r="B11" s="145"/>
      <c r="C11" s="145"/>
      <c r="E11" s="156"/>
      <c r="F11" s="145"/>
      <c r="H11" s="145"/>
      <c r="I11" s="145"/>
      <c r="J11" s="145"/>
      <c r="K11" s="145"/>
      <c r="L11" s="145"/>
      <c r="M11" s="545"/>
      <c r="N11" s="708" t="s">
        <v>342</v>
      </c>
      <c r="O11" s="708"/>
      <c r="P11" s="708"/>
      <c r="Q11" s="708"/>
      <c r="R11" s="708"/>
      <c r="S11" s="708"/>
      <c r="T11" s="545"/>
      <c r="U11" s="545"/>
    </row>
    <row r="12" spans="2:21" ht="20.100000000000001" customHeight="1">
      <c r="B12" s="145"/>
      <c r="C12" s="145"/>
      <c r="D12" s="157" t="s">
        <v>43</v>
      </c>
      <c r="E12" s="145"/>
      <c r="F12" s="154" t="s">
        <v>44</v>
      </c>
      <c r="G12" s="145"/>
      <c r="H12" s="145"/>
      <c r="I12" s="145"/>
      <c r="J12" s="145"/>
      <c r="K12" s="145"/>
      <c r="L12" s="145"/>
      <c r="M12" s="545"/>
      <c r="N12" s="708"/>
      <c r="O12" s="708"/>
      <c r="P12" s="708"/>
      <c r="Q12" s="708"/>
      <c r="R12" s="708"/>
      <c r="S12" s="708"/>
      <c r="T12" s="545"/>
      <c r="U12" s="545"/>
    </row>
    <row r="13" spans="2:21" ht="20.100000000000001" customHeight="1">
      <c r="B13" s="145"/>
      <c r="C13" s="145"/>
      <c r="D13" s="158"/>
      <c r="E13" s="145"/>
      <c r="F13" s="145"/>
      <c r="G13" s="145"/>
      <c r="H13" s="145"/>
      <c r="I13" s="145"/>
      <c r="J13" s="145"/>
      <c r="K13" s="145"/>
      <c r="L13" s="145"/>
      <c r="M13" s="545"/>
      <c r="N13" s="544"/>
      <c r="O13" s="545"/>
      <c r="P13" s="545"/>
      <c r="Q13" s="545"/>
      <c r="R13" s="545"/>
      <c r="S13" s="548"/>
      <c r="T13" s="548"/>
      <c r="U13" s="545"/>
    </row>
    <row r="14" spans="2:21" ht="20.100000000000001" customHeight="1">
      <c r="M14" s="543"/>
      <c r="O14" s="543"/>
      <c r="P14" s="543"/>
      <c r="Q14" s="543"/>
      <c r="R14" s="543"/>
      <c r="S14" s="543"/>
      <c r="T14" s="543"/>
      <c r="U14" s="543"/>
    </row>
    <row r="15" spans="2:21" ht="20.100000000000001" customHeight="1">
      <c r="F15" s="159" t="s">
        <v>45</v>
      </c>
      <c r="I15" s="160" t="s">
        <v>50</v>
      </c>
      <c r="M15" s="543"/>
      <c r="N15" s="543"/>
      <c r="O15" s="543"/>
      <c r="P15" s="543"/>
      <c r="Q15" s="543"/>
      <c r="R15" s="543"/>
      <c r="S15" s="543"/>
      <c r="T15" s="543"/>
      <c r="U15" s="543"/>
    </row>
    <row r="16" spans="2:21" ht="20.100000000000001" customHeight="1">
      <c r="M16" s="543"/>
      <c r="N16" s="543"/>
      <c r="O16" s="543"/>
      <c r="P16" s="543"/>
      <c r="Q16" s="543"/>
      <c r="R16" s="543"/>
      <c r="S16" s="543"/>
      <c r="T16" s="543"/>
      <c r="U16" s="543"/>
    </row>
    <row r="17" spans="10:21" ht="15" customHeight="1">
      <c r="M17" s="543"/>
      <c r="N17" s="543"/>
      <c r="O17" s="543"/>
      <c r="P17" s="543"/>
      <c r="Q17" s="543"/>
      <c r="R17" s="543"/>
      <c r="S17" s="543"/>
      <c r="T17" s="543"/>
      <c r="U17" s="543"/>
    </row>
    <row r="18" spans="10:21" ht="15" customHeight="1">
      <c r="M18" s="543"/>
      <c r="N18" s="543"/>
      <c r="O18" s="543"/>
      <c r="P18" s="543"/>
      <c r="Q18" s="543"/>
      <c r="R18" s="543"/>
      <c r="S18" s="543"/>
      <c r="T18" s="543"/>
      <c r="U18" s="543"/>
    </row>
    <row r="19" spans="10:21" ht="15" customHeight="1">
      <c r="M19" s="543"/>
      <c r="N19" s="543"/>
      <c r="O19" s="543"/>
      <c r="P19" s="543"/>
      <c r="Q19" s="543"/>
      <c r="R19" s="543"/>
      <c r="S19" s="543"/>
      <c r="T19" s="543"/>
      <c r="U19" s="543"/>
    </row>
    <row r="20" spans="10:21" ht="15" customHeight="1">
      <c r="J20" s="180"/>
      <c r="M20" s="543"/>
      <c r="N20" s="543"/>
      <c r="O20" s="543"/>
      <c r="P20" s="543"/>
      <c r="Q20" s="543"/>
      <c r="R20" s="543"/>
      <c r="S20" s="543"/>
      <c r="T20" s="543"/>
      <c r="U20" s="543"/>
    </row>
    <row r="21" spans="10:21" ht="15" customHeight="1">
      <c r="M21" s="543"/>
      <c r="N21" s="543"/>
      <c r="O21" s="543"/>
      <c r="P21" s="543"/>
      <c r="Q21" s="543"/>
      <c r="R21" s="543"/>
      <c r="S21" s="543"/>
      <c r="T21" s="543"/>
      <c r="U21" s="543"/>
    </row>
    <row r="22" spans="10:21" ht="15" customHeight="1">
      <c r="N22" s="543"/>
      <c r="O22" s="543"/>
      <c r="P22" s="543"/>
      <c r="Q22" s="543"/>
      <c r="R22" s="543"/>
    </row>
    <row r="23" spans="10:21" ht="15" customHeight="1"/>
    <row r="24" spans="10:21" ht="15" customHeight="1"/>
    <row r="25" spans="10:21" ht="15" customHeight="1"/>
    <row r="26" spans="10:21" ht="15" customHeight="1"/>
    <row r="27" spans="10:21" ht="15" customHeight="1"/>
    <row r="28" spans="10:21" ht="15" customHeight="1"/>
    <row r="29" spans="10:21" ht="15" customHeight="1"/>
    <row r="30" spans="10:21" ht="15" customHeight="1"/>
    <row r="31" spans="10:21" ht="15" customHeight="1"/>
    <row r="32" spans="10:2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mergeCells count="3">
    <mergeCell ref="P5:Q5"/>
    <mergeCell ref="N9:S9"/>
    <mergeCell ref="N11:S12"/>
  </mergeCells>
  <hyperlinks>
    <hyperlink ref="N8:S8" location="'Asset Register'!A1" display="-  A list of all the Parish Council's assets" xr:uid="{A6C677BF-1F77-4EC4-B783-1CF1B54FCA5C}"/>
  </hyperlinks>
  <pageMargins left="0.70866141732283472" right="0.70866141732283472" top="0.74803149606299213" bottom="0.7480314960629921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1"/>
    <pageSetUpPr fitToPage="1"/>
  </sheetPr>
  <dimension ref="A2:U134"/>
  <sheetViews>
    <sheetView showGridLines="0" zoomScaleNormal="100" workbookViewId="0">
      <pane ySplit="3" topLeftCell="A4" activePane="bottomLeft" state="frozen"/>
      <selection activeCell="E22" sqref="E22"/>
      <selection pane="bottomLeft" activeCell="E18" sqref="E18"/>
    </sheetView>
  </sheetViews>
  <sheetFormatPr defaultColWidth="9.140625" defaultRowHeight="15"/>
  <cols>
    <col min="1" max="1" width="1.28515625" style="181" customWidth="1"/>
    <col min="2" max="2" width="9.28515625" style="181" customWidth="1"/>
    <col min="3" max="3" width="26" style="181" customWidth="1"/>
    <col min="4" max="4" width="27.28515625" style="181" customWidth="1"/>
    <col min="5" max="5" width="13.85546875" style="181" bestFit="1" customWidth="1"/>
    <col min="6" max="6" width="38.42578125" style="182" bestFit="1" customWidth="1"/>
    <col min="7" max="7" width="11.28515625" style="183" hidden="1" customWidth="1"/>
    <col min="8" max="10" width="11.28515625" style="183" customWidth="1"/>
    <col min="11" max="11" width="11.28515625" style="184" customWidth="1"/>
    <col min="12" max="12" width="10.5703125" style="181" customWidth="1"/>
    <col min="13" max="13" width="41" style="181" customWidth="1"/>
    <col min="14" max="16" width="9.140625" style="181"/>
    <col min="17" max="17" width="26.140625" style="181" customWidth="1"/>
    <col min="18" max="18" width="21.42578125" style="181" bestFit="1" customWidth="1"/>
    <col min="19" max="19" width="15.85546875" style="181" customWidth="1"/>
    <col min="20" max="20" width="1.85546875" style="181" customWidth="1"/>
    <col min="21" max="21" width="12.140625" style="181" customWidth="1"/>
    <col min="22" max="22" width="5.28515625" style="181" customWidth="1"/>
    <col min="23" max="16384" width="9.140625" style="181"/>
  </cols>
  <sheetData>
    <row r="2" spans="2:21" ht="15.75" thickBot="1">
      <c r="Q2" s="788"/>
      <c r="R2" s="788"/>
    </row>
    <row r="3" spans="2:21" s="182" customFormat="1" ht="75.75" thickBot="1">
      <c r="B3" s="185" t="s">
        <v>58</v>
      </c>
      <c r="C3" s="186" t="s">
        <v>59</v>
      </c>
      <c r="D3" s="186" t="s">
        <v>60</v>
      </c>
      <c r="E3" s="186" t="s">
        <v>61</v>
      </c>
      <c r="F3" s="186" t="s">
        <v>62</v>
      </c>
      <c r="G3" s="187" t="s">
        <v>234</v>
      </c>
      <c r="H3" s="187" t="s">
        <v>341</v>
      </c>
      <c r="I3" s="187" t="s">
        <v>389</v>
      </c>
      <c r="J3" s="187" t="s">
        <v>390</v>
      </c>
      <c r="K3" s="188" t="s">
        <v>63</v>
      </c>
      <c r="L3" s="186" t="s">
        <v>64</v>
      </c>
      <c r="M3" s="189" t="s">
        <v>65</v>
      </c>
      <c r="N3" s="190"/>
      <c r="O3" s="190"/>
      <c r="P3" s="190"/>
      <c r="R3" s="191"/>
      <c r="S3" s="190"/>
      <c r="U3" s="190"/>
    </row>
    <row r="4" spans="2:21" s="192" customFormat="1" ht="18.75" customHeight="1">
      <c r="B4" s="193" t="s">
        <v>66</v>
      </c>
      <c r="C4" s="194" t="s">
        <v>67</v>
      </c>
      <c r="D4" s="195" t="s">
        <v>68</v>
      </c>
      <c r="E4" s="196">
        <v>22031</v>
      </c>
      <c r="F4" s="197" t="s">
        <v>69</v>
      </c>
      <c r="G4" s="198">
        <v>1</v>
      </c>
      <c r="H4" s="198">
        <f>G4</f>
        <v>1</v>
      </c>
      <c r="I4" s="198"/>
      <c r="J4" s="198"/>
      <c r="K4" s="199"/>
      <c r="L4" s="197"/>
      <c r="M4" s="200"/>
      <c r="N4" s="201"/>
      <c r="O4" s="201"/>
      <c r="P4" s="201"/>
      <c r="R4" s="202"/>
      <c r="S4" s="201"/>
      <c r="U4" s="203"/>
    </row>
    <row r="5" spans="2:21" s="192" customFormat="1" ht="19.5" customHeight="1">
      <c r="B5" s="204" t="s">
        <v>66</v>
      </c>
      <c r="C5" s="194" t="s">
        <v>70</v>
      </c>
      <c r="D5" s="195" t="s">
        <v>71</v>
      </c>
      <c r="E5" s="196">
        <v>25556</v>
      </c>
      <c r="F5" s="197" t="s">
        <v>72</v>
      </c>
      <c r="G5" s="198">
        <v>1</v>
      </c>
      <c r="H5" s="198">
        <f>G5</f>
        <v>1</v>
      </c>
      <c r="I5" s="198"/>
      <c r="J5" s="198"/>
      <c r="K5" s="199"/>
      <c r="L5" s="197"/>
      <c r="M5" s="200"/>
      <c r="R5" s="202"/>
      <c r="S5" s="205"/>
      <c r="U5" s="205"/>
    </row>
    <row r="6" spans="2:21" hidden="1">
      <c r="B6" s="206" t="s">
        <v>66</v>
      </c>
      <c r="C6" s="207" t="s">
        <v>73</v>
      </c>
      <c r="D6" s="207" t="s">
        <v>74</v>
      </c>
      <c r="E6" s="208" t="s">
        <v>75</v>
      </c>
      <c r="F6" s="209" t="s">
        <v>76</v>
      </c>
      <c r="G6" s="210"/>
      <c r="H6" s="210"/>
      <c r="I6" s="210"/>
      <c r="J6" s="210"/>
      <c r="K6" s="211"/>
      <c r="L6" s="209"/>
      <c r="M6" s="212"/>
      <c r="N6" s="213"/>
      <c r="O6" s="213"/>
      <c r="P6" s="213"/>
      <c r="R6" s="214"/>
      <c r="S6" s="215"/>
      <c r="U6" s="215"/>
    </row>
    <row r="7" spans="2:21" ht="28.5" customHeight="1">
      <c r="B7" s="791" t="s">
        <v>77</v>
      </c>
      <c r="C7" s="216" t="s">
        <v>78</v>
      </c>
      <c r="D7" s="793" t="s">
        <v>79</v>
      </c>
      <c r="E7" s="217"/>
      <c r="F7" s="218"/>
      <c r="G7" s="219"/>
      <c r="H7" s="219"/>
      <c r="I7" s="219"/>
      <c r="J7" s="219"/>
      <c r="K7" s="220"/>
      <c r="L7" s="218"/>
      <c r="M7" s="795" t="s">
        <v>80</v>
      </c>
      <c r="R7" s="214"/>
      <c r="S7" s="221"/>
      <c r="U7" s="215"/>
    </row>
    <row r="8" spans="2:21" ht="54.75" customHeight="1">
      <c r="B8" s="792"/>
      <c r="C8" s="222" t="s">
        <v>81</v>
      </c>
      <c r="D8" s="794"/>
      <c r="E8" s="196" t="s">
        <v>82</v>
      </c>
      <c r="F8" s="197" t="s">
        <v>72</v>
      </c>
      <c r="G8" s="224">
        <v>100450</v>
      </c>
      <c r="H8" s="198">
        <f>G8</f>
        <v>100450</v>
      </c>
      <c r="I8" s="198"/>
      <c r="J8" s="198"/>
      <c r="K8" s="676">
        <v>251000</v>
      </c>
      <c r="L8" s="223"/>
      <c r="M8" s="796"/>
      <c r="R8" s="214"/>
      <c r="S8" s="215"/>
      <c r="U8" s="225"/>
    </row>
    <row r="9" spans="2:21">
      <c r="B9" s="226"/>
      <c r="C9" s="207"/>
      <c r="D9" s="207"/>
      <c r="E9" s="208"/>
      <c r="F9" s="209"/>
      <c r="G9" s="210"/>
      <c r="H9" s="210"/>
      <c r="I9" s="210"/>
      <c r="J9" s="210"/>
      <c r="K9" s="211"/>
      <c r="L9" s="209"/>
      <c r="M9" s="212"/>
      <c r="R9" s="214"/>
      <c r="S9" s="215"/>
      <c r="U9" s="215"/>
    </row>
    <row r="10" spans="2:21" ht="19.5" customHeight="1">
      <c r="B10" s="227"/>
      <c r="C10" s="216" t="s">
        <v>83</v>
      </c>
      <c r="D10" s="228"/>
      <c r="E10" s="217"/>
      <c r="F10" s="218"/>
      <c r="G10" s="219"/>
      <c r="H10" s="219"/>
      <c r="I10" s="219"/>
      <c r="J10" s="219"/>
      <c r="K10" s="220"/>
      <c r="L10" s="218"/>
      <c r="M10" s="797" t="s">
        <v>84</v>
      </c>
      <c r="R10" s="214"/>
      <c r="S10" s="215"/>
      <c r="U10" s="215"/>
    </row>
    <row r="11" spans="2:21" ht="19.5" hidden="1" customHeight="1">
      <c r="B11" s="229" t="s">
        <v>85</v>
      </c>
      <c r="C11" s="230" t="s">
        <v>86</v>
      </c>
      <c r="D11" s="230" t="s">
        <v>87</v>
      </c>
      <c r="E11" s="231">
        <v>1960</v>
      </c>
      <c r="F11" s="232" t="s">
        <v>88</v>
      </c>
      <c r="G11" s="233">
        <v>0</v>
      </c>
      <c r="H11" s="233"/>
      <c r="I11" s="233"/>
      <c r="J11" s="233"/>
      <c r="K11" s="234"/>
      <c r="L11" s="232">
        <v>2011</v>
      </c>
      <c r="M11" s="798"/>
      <c r="R11" s="235"/>
      <c r="S11" s="215"/>
      <c r="U11" s="225"/>
    </row>
    <row r="12" spans="2:21" ht="20.25" customHeight="1">
      <c r="B12" s="236" t="s">
        <v>89</v>
      </c>
      <c r="C12" s="237" t="s">
        <v>90</v>
      </c>
      <c r="D12" s="237" t="s">
        <v>91</v>
      </c>
      <c r="E12" s="238" t="s">
        <v>92</v>
      </c>
      <c r="F12" s="239" t="s">
        <v>93</v>
      </c>
      <c r="G12" s="799">
        <v>1243</v>
      </c>
      <c r="H12" s="799">
        <f>700*4</f>
        <v>2800</v>
      </c>
      <c r="I12" s="554"/>
      <c r="J12" s="554"/>
      <c r="K12" s="240">
        <v>450</v>
      </c>
      <c r="L12" s="241"/>
      <c r="M12" s="804" t="s">
        <v>391</v>
      </c>
      <c r="O12" s="242"/>
      <c r="P12" s="242"/>
      <c r="R12" s="214"/>
      <c r="S12" s="215"/>
      <c r="U12" s="215"/>
    </row>
    <row r="13" spans="2:21">
      <c r="B13" s="236"/>
      <c r="C13" s="237"/>
      <c r="D13" s="237" t="s">
        <v>94</v>
      </c>
      <c r="E13" s="238" t="s">
        <v>95</v>
      </c>
      <c r="F13" s="239" t="s">
        <v>96</v>
      </c>
      <c r="G13" s="800"/>
      <c r="H13" s="800"/>
      <c r="I13" s="554"/>
      <c r="J13" s="554"/>
      <c r="K13" s="243">
        <v>1300</v>
      </c>
      <c r="L13" s="241"/>
      <c r="M13" s="805"/>
      <c r="O13" s="242"/>
      <c r="P13" s="242"/>
      <c r="R13" s="214"/>
      <c r="S13" s="215"/>
      <c r="U13" s="215"/>
    </row>
    <row r="14" spans="2:21">
      <c r="B14" s="236"/>
      <c r="C14" s="237"/>
      <c r="D14" s="237" t="s">
        <v>97</v>
      </c>
      <c r="E14" s="244" t="s">
        <v>98</v>
      </c>
      <c r="F14" s="239" t="s">
        <v>99</v>
      </c>
      <c r="G14" s="800"/>
      <c r="H14" s="800"/>
      <c r="I14" s="554"/>
      <c r="J14" s="554"/>
      <c r="K14" s="243">
        <v>450</v>
      </c>
      <c r="L14" s="241"/>
      <c r="M14" s="805"/>
      <c r="O14" s="242"/>
      <c r="P14" s="242"/>
      <c r="R14" s="214"/>
      <c r="S14" s="215"/>
      <c r="U14" s="215"/>
    </row>
    <row r="15" spans="2:21" ht="15" hidden="1" customHeight="1">
      <c r="B15" s="236"/>
      <c r="C15" s="237"/>
      <c r="D15" s="237" t="s">
        <v>100</v>
      </c>
      <c r="E15" s="244"/>
      <c r="F15" s="239" t="s">
        <v>101</v>
      </c>
      <c r="G15" s="800"/>
      <c r="H15" s="800"/>
      <c r="I15" s="554"/>
      <c r="J15" s="554"/>
      <c r="K15" s="243">
        <v>0</v>
      </c>
      <c r="L15" s="241"/>
      <c r="M15" s="805"/>
      <c r="O15" s="242"/>
      <c r="P15" s="242"/>
      <c r="R15" s="214"/>
      <c r="S15" s="215"/>
      <c r="U15" s="215"/>
    </row>
    <row r="16" spans="2:21" ht="15" hidden="1" customHeight="1">
      <c r="B16" s="236"/>
      <c r="C16" s="237"/>
      <c r="D16" s="237" t="s">
        <v>102</v>
      </c>
      <c r="E16" s="244"/>
      <c r="F16" s="239" t="s">
        <v>103</v>
      </c>
      <c r="G16" s="800"/>
      <c r="H16" s="800"/>
      <c r="I16" s="554"/>
      <c r="J16" s="554"/>
      <c r="K16" s="243"/>
      <c r="L16" s="241"/>
      <c r="M16" s="805"/>
      <c r="O16" s="242"/>
      <c r="P16" s="242"/>
      <c r="R16" s="214"/>
      <c r="S16" s="215"/>
      <c r="U16" s="215"/>
    </row>
    <row r="17" spans="2:21" ht="15" hidden="1" customHeight="1">
      <c r="B17" s="236"/>
      <c r="C17" s="348"/>
      <c r="D17" s="237" t="s">
        <v>104</v>
      </c>
      <c r="E17" s="244" t="s">
        <v>105</v>
      </c>
      <c r="F17" s="239" t="s">
        <v>106</v>
      </c>
      <c r="G17" s="800"/>
      <c r="H17" s="800"/>
      <c r="I17" s="551"/>
      <c r="J17" s="551"/>
      <c r="K17" s="246"/>
      <c r="L17" s="191"/>
      <c r="M17" s="805"/>
      <c r="O17" s="242"/>
      <c r="P17" s="242"/>
      <c r="R17" s="214"/>
      <c r="S17" s="215"/>
      <c r="U17" s="215"/>
    </row>
    <row r="18" spans="2:21">
      <c r="B18" s="236"/>
      <c r="C18" s="237"/>
      <c r="D18" s="237" t="s">
        <v>70</v>
      </c>
      <c r="E18" s="244" t="s">
        <v>107</v>
      </c>
      <c r="F18" s="239" t="s">
        <v>70</v>
      </c>
      <c r="G18" s="308">
        <v>451</v>
      </c>
      <c r="H18" s="800"/>
      <c r="I18" s="245"/>
      <c r="J18" s="245"/>
      <c r="K18" s="246"/>
      <c r="L18" s="191"/>
      <c r="M18" s="805"/>
      <c r="O18" s="242"/>
      <c r="P18" s="242"/>
      <c r="R18" s="214"/>
      <c r="S18" s="215"/>
      <c r="U18" s="215"/>
    </row>
    <row r="19" spans="2:21">
      <c r="B19" s="236"/>
      <c r="C19" s="803" t="s">
        <v>287</v>
      </c>
      <c r="D19" s="376" t="s">
        <v>288</v>
      </c>
      <c r="E19" s="801">
        <v>44044</v>
      </c>
      <c r="F19" s="377"/>
      <c r="G19" s="313"/>
      <c r="H19" s="313">
        <f>320+290</f>
        <v>610</v>
      </c>
      <c r="I19" s="313"/>
      <c r="J19" s="313"/>
      <c r="K19" s="378">
        <v>650</v>
      </c>
      <c r="L19" s="379"/>
      <c r="M19" s="366"/>
      <c r="O19" s="242"/>
      <c r="P19" s="242"/>
      <c r="R19" s="214"/>
      <c r="S19" s="215"/>
      <c r="U19" s="215"/>
    </row>
    <row r="20" spans="2:21">
      <c r="B20" s="236"/>
      <c r="C20" s="803"/>
      <c r="D20" s="376" t="s">
        <v>289</v>
      </c>
      <c r="E20" s="801"/>
      <c r="F20" s="377"/>
      <c r="G20" s="313"/>
      <c r="H20" s="313">
        <f>14+320</f>
        <v>334</v>
      </c>
      <c r="I20" s="313"/>
      <c r="J20" s="313"/>
      <c r="K20" s="378">
        <v>350</v>
      </c>
      <c r="L20" s="379"/>
      <c r="M20" s="366"/>
      <c r="O20" s="242"/>
      <c r="P20" s="242"/>
      <c r="R20" s="214"/>
      <c r="S20" s="215"/>
      <c r="U20" s="215"/>
    </row>
    <row r="21" spans="2:21">
      <c r="B21" s="236"/>
      <c r="C21" s="803"/>
      <c r="D21" s="376" t="s">
        <v>290</v>
      </c>
      <c r="E21" s="801"/>
      <c r="F21" s="377"/>
      <c r="G21" s="313"/>
      <c r="H21" s="313">
        <f>320+290</f>
        <v>610</v>
      </c>
      <c r="I21" s="313"/>
      <c r="J21" s="313"/>
      <c r="K21" s="378">
        <v>650</v>
      </c>
      <c r="L21" s="379"/>
      <c r="M21" s="366"/>
      <c r="O21" s="242"/>
      <c r="P21" s="242"/>
      <c r="R21" s="214"/>
      <c r="S21" s="215"/>
      <c r="U21" s="215"/>
    </row>
    <row r="22" spans="2:21">
      <c r="B22" s="236"/>
      <c r="C22" s="803"/>
      <c r="D22" s="376" t="s">
        <v>291</v>
      </c>
      <c r="E22" s="801"/>
      <c r="F22" s="377"/>
      <c r="G22" s="313"/>
      <c r="H22" s="313">
        <v>334</v>
      </c>
      <c r="I22" s="313"/>
      <c r="J22" s="313"/>
      <c r="K22" s="378">
        <v>350</v>
      </c>
      <c r="L22" s="379"/>
      <c r="M22" s="366"/>
      <c r="O22" s="242"/>
      <c r="P22" s="242"/>
      <c r="R22" s="214"/>
      <c r="S22" s="215"/>
      <c r="U22" s="215"/>
    </row>
    <row r="23" spans="2:21">
      <c r="B23" s="236"/>
      <c r="C23" s="803"/>
      <c r="D23" s="376" t="s">
        <v>292</v>
      </c>
      <c r="E23" s="801"/>
      <c r="F23" s="377"/>
      <c r="G23" s="313"/>
      <c r="H23" s="378">
        <f>320+290</f>
        <v>610</v>
      </c>
      <c r="I23" s="378"/>
      <c r="J23" s="378"/>
      <c r="K23" s="378">
        <v>650</v>
      </c>
      <c r="L23" s="379"/>
      <c r="M23" s="366"/>
      <c r="O23" s="242"/>
      <c r="P23" s="242"/>
      <c r="R23" s="214"/>
      <c r="S23" s="215"/>
      <c r="U23" s="215"/>
    </row>
    <row r="24" spans="2:21">
      <c r="B24" s="236"/>
      <c r="C24" s="803"/>
      <c r="D24" s="381" t="s">
        <v>293</v>
      </c>
      <c r="E24" s="802">
        <v>44197</v>
      </c>
      <c r="F24" s="382"/>
      <c r="G24" s="383"/>
      <c r="H24" s="384">
        <f>296+275</f>
        <v>571</v>
      </c>
      <c r="I24" s="384"/>
      <c r="J24" s="384"/>
      <c r="K24" s="384">
        <v>600</v>
      </c>
      <c r="L24" s="385"/>
      <c r="M24" s="366"/>
      <c r="O24" s="242"/>
      <c r="P24" s="242"/>
      <c r="R24" s="214"/>
      <c r="S24" s="215"/>
      <c r="U24" s="215"/>
    </row>
    <row r="25" spans="2:21">
      <c r="B25" s="236"/>
      <c r="C25" s="803"/>
      <c r="D25" s="381" t="s">
        <v>294</v>
      </c>
      <c r="E25" s="802"/>
      <c r="F25" s="382"/>
      <c r="G25" s="383"/>
      <c r="H25" s="384">
        <f>275+296</f>
        <v>571</v>
      </c>
      <c r="I25" s="384"/>
      <c r="J25" s="384"/>
      <c r="K25" s="384">
        <v>600</v>
      </c>
      <c r="L25" s="385"/>
      <c r="M25" s="366"/>
      <c r="O25" s="242"/>
      <c r="P25" s="242"/>
      <c r="R25" s="214"/>
      <c r="S25" s="215"/>
      <c r="U25" s="215"/>
    </row>
    <row r="26" spans="2:21">
      <c r="B26" s="236"/>
      <c r="C26" s="532"/>
      <c r="D26" s="381" t="s">
        <v>335</v>
      </c>
      <c r="E26" s="531">
        <v>44562</v>
      </c>
      <c r="F26" s="382" t="s">
        <v>103</v>
      </c>
      <c r="G26" s="383"/>
      <c r="H26" s="384">
        <f>Payments!M81</f>
        <v>7.89</v>
      </c>
      <c r="I26" s="384"/>
      <c r="J26" s="384"/>
      <c r="K26" s="384">
        <v>400</v>
      </c>
      <c r="L26" s="385"/>
      <c r="M26" s="366"/>
      <c r="O26" s="242"/>
      <c r="P26" s="242"/>
      <c r="R26" s="214"/>
      <c r="S26" s="215"/>
      <c r="U26" s="215"/>
    </row>
    <row r="27" spans="2:21">
      <c r="B27" s="236"/>
      <c r="C27" s="532"/>
      <c r="D27" s="381" t="s">
        <v>334</v>
      </c>
      <c r="E27" s="531">
        <v>44470</v>
      </c>
      <c r="F27" s="382" t="s">
        <v>93</v>
      </c>
      <c r="G27" s="383"/>
      <c r="H27" s="384">
        <f>Payments!M67</f>
        <v>9.99</v>
      </c>
      <c r="I27" s="384"/>
      <c r="J27" s="384"/>
      <c r="K27" s="384">
        <v>600</v>
      </c>
      <c r="L27" s="385"/>
      <c r="M27" s="366"/>
      <c r="O27" s="242"/>
      <c r="P27" s="242"/>
      <c r="R27" s="214"/>
      <c r="S27" s="215"/>
      <c r="U27" s="215"/>
    </row>
    <row r="28" spans="2:21">
      <c r="B28" s="229"/>
      <c r="C28" s="230"/>
      <c r="D28" s="237" t="s">
        <v>264</v>
      </c>
      <c r="E28" s="347" t="s">
        <v>260</v>
      </c>
      <c r="F28" s="239" t="s">
        <v>265</v>
      </c>
      <c r="G28" s="245"/>
      <c r="H28" s="349">
        <v>1345</v>
      </c>
      <c r="I28" s="349"/>
      <c r="J28" s="349"/>
      <c r="K28" s="247">
        <v>1500</v>
      </c>
      <c r="L28" s="248"/>
      <c r="M28" s="249"/>
      <c r="O28" s="242"/>
      <c r="P28" s="380"/>
      <c r="R28" s="235"/>
      <c r="S28" s="215"/>
      <c r="U28" s="225"/>
    </row>
    <row r="29" spans="2:21" ht="26.25" customHeight="1">
      <c r="B29" s="250"/>
      <c r="C29" s="251" t="s">
        <v>108</v>
      </c>
      <c r="D29" s="251" t="s">
        <v>109</v>
      </c>
      <c r="E29" s="252">
        <v>37387</v>
      </c>
      <c r="F29" s="541" t="s">
        <v>110</v>
      </c>
      <c r="G29" s="253">
        <v>3500</v>
      </c>
      <c r="H29" s="253">
        <f>G29</f>
        <v>3500</v>
      </c>
      <c r="I29" s="253"/>
      <c r="J29" s="253"/>
      <c r="K29" s="254">
        <v>4000</v>
      </c>
      <c r="L29" s="255"/>
      <c r="M29" s="256" t="s">
        <v>111</v>
      </c>
      <c r="R29" s="235"/>
      <c r="S29" s="215"/>
      <c r="U29" s="225"/>
    </row>
    <row r="30" spans="2:21" ht="22.5" customHeight="1">
      <c r="B30" s="340"/>
      <c r="C30" s="410" t="s">
        <v>112</v>
      </c>
      <c r="D30" s="410"/>
      <c r="E30" s="411"/>
      <c r="F30" s="412"/>
      <c r="G30" s="341">
        <v>813.54</v>
      </c>
      <c r="H30" s="341">
        <f>G30</f>
        <v>813.54</v>
      </c>
      <c r="I30" s="341"/>
      <c r="J30" s="341"/>
      <c r="K30" s="342">
        <f>H30</f>
        <v>813.54</v>
      </c>
      <c r="L30" s="343"/>
      <c r="M30" s="256"/>
      <c r="R30" s="235"/>
      <c r="S30" s="215"/>
      <c r="U30" s="225"/>
    </row>
    <row r="31" spans="2:21" ht="22.5" customHeight="1">
      <c r="B31" s="340"/>
      <c r="C31" s="410" t="s">
        <v>297</v>
      </c>
      <c r="D31" s="410" t="s">
        <v>298</v>
      </c>
      <c r="E31" s="411"/>
      <c r="F31" s="412" t="s">
        <v>336</v>
      </c>
      <c r="G31" s="341"/>
      <c r="H31" s="341">
        <v>1167</v>
      </c>
      <c r="I31" s="341"/>
      <c r="J31" s="341"/>
      <c r="K31" s="342">
        <v>1167</v>
      </c>
      <c r="L31" s="343"/>
      <c r="M31" s="339"/>
      <c r="R31" s="235"/>
      <c r="S31" s="215"/>
      <c r="U31" s="225"/>
    </row>
    <row r="32" spans="2:21" ht="22.5" customHeight="1">
      <c r="B32" s="340"/>
      <c r="C32" s="352" t="s">
        <v>337</v>
      </c>
      <c r="D32" s="352" t="s">
        <v>262</v>
      </c>
      <c r="E32" s="353"/>
      <c r="F32" s="354"/>
      <c r="G32" s="342"/>
      <c r="H32" s="351">
        <v>7160</v>
      </c>
      <c r="I32" s="542"/>
      <c r="J32" s="542"/>
      <c r="K32" s="342">
        <f t="shared" ref="K32:K37" si="0">H32</f>
        <v>7160</v>
      </c>
      <c r="L32" s="343"/>
      <c r="M32" s="339"/>
      <c r="R32" s="235"/>
      <c r="S32" s="215"/>
      <c r="U32" s="225"/>
    </row>
    <row r="33" spans="1:21" ht="22.5" customHeight="1">
      <c r="A33" s="344"/>
      <c r="B33" s="250"/>
      <c r="C33" s="251" t="s">
        <v>338</v>
      </c>
      <c r="D33" s="251" t="s">
        <v>261</v>
      </c>
      <c r="E33" s="252"/>
      <c r="F33" s="345"/>
      <c r="G33" s="254"/>
      <c r="H33" s="351">
        <v>6476</v>
      </c>
      <c r="I33" s="351"/>
      <c r="J33" s="351"/>
      <c r="K33" s="254">
        <f t="shared" si="0"/>
        <v>6476</v>
      </c>
      <c r="L33" s="346"/>
      <c r="M33" s="339"/>
      <c r="R33" s="235"/>
      <c r="S33" s="215"/>
      <c r="U33" s="225"/>
    </row>
    <row r="34" spans="1:21" ht="22.5" customHeight="1">
      <c r="B34" s="340"/>
      <c r="C34" s="352" t="s">
        <v>338</v>
      </c>
      <c r="D34" s="352" t="s">
        <v>339</v>
      </c>
      <c r="E34" s="353"/>
      <c r="F34" s="354" t="s">
        <v>340</v>
      </c>
      <c r="G34" s="342"/>
      <c r="H34" s="542">
        <v>5406</v>
      </c>
      <c r="I34" s="542"/>
      <c r="J34" s="542"/>
      <c r="K34" s="342">
        <f t="shared" si="0"/>
        <v>5406</v>
      </c>
      <c r="L34" s="399"/>
      <c r="M34" s="339"/>
      <c r="R34" s="235"/>
      <c r="S34" s="215"/>
      <c r="U34" s="225"/>
    </row>
    <row r="35" spans="1:21" ht="22.5" customHeight="1">
      <c r="B35" s="340"/>
      <c r="C35" s="352" t="s">
        <v>482</v>
      </c>
      <c r="D35" s="352" t="s">
        <v>725</v>
      </c>
      <c r="E35" s="353"/>
      <c r="F35" s="354"/>
      <c r="G35" s="342"/>
      <c r="H35" s="542">
        <v>2000</v>
      </c>
      <c r="I35" s="542"/>
      <c r="J35" s="542"/>
      <c r="K35" s="342">
        <f t="shared" si="0"/>
        <v>2000</v>
      </c>
      <c r="L35" s="399"/>
      <c r="M35" s="339"/>
      <c r="R35" s="235"/>
      <c r="S35" s="215"/>
      <c r="U35" s="225"/>
    </row>
    <row r="36" spans="1:21" ht="22.5" customHeight="1">
      <c r="B36" s="340"/>
      <c r="C36" s="352" t="s">
        <v>517</v>
      </c>
      <c r="D36" s="352"/>
      <c r="E36" s="353"/>
      <c r="F36" s="354"/>
      <c r="G36" s="342"/>
      <c r="H36" s="542">
        <v>283</v>
      </c>
      <c r="I36" s="542"/>
      <c r="J36" s="542"/>
      <c r="K36" s="342">
        <f t="shared" si="0"/>
        <v>283</v>
      </c>
      <c r="L36" s="399"/>
      <c r="M36" s="339"/>
      <c r="R36" s="235"/>
      <c r="S36" s="215"/>
      <c r="U36" s="225"/>
    </row>
    <row r="37" spans="1:21" ht="22.5" customHeight="1">
      <c r="B37" s="400"/>
      <c r="C37" s="401" t="s">
        <v>267</v>
      </c>
      <c r="D37" s="401"/>
      <c r="E37" s="402"/>
      <c r="F37" s="403"/>
      <c r="G37" s="404"/>
      <c r="H37" s="405">
        <f>11767.5-2</f>
        <v>11765.5</v>
      </c>
      <c r="I37" s="405"/>
      <c r="J37" s="405"/>
      <c r="K37" s="404">
        <f t="shared" si="0"/>
        <v>11765.5</v>
      </c>
      <c r="L37" s="399"/>
      <c r="M37" s="550">
        <f>H37/53</f>
        <v>221.99</v>
      </c>
      <c r="R37" s="235"/>
      <c r="S37" s="215"/>
      <c r="U37" s="225"/>
    </row>
    <row r="38" spans="1:21" ht="45">
      <c r="B38" s="386" t="s">
        <v>113</v>
      </c>
      <c r="C38" s="387" t="s">
        <v>0</v>
      </c>
      <c r="D38" s="387" t="s">
        <v>114</v>
      </c>
      <c r="E38" s="388"/>
      <c r="F38" s="389" t="s">
        <v>115</v>
      </c>
      <c r="G38" s="390">
        <f>35*340</f>
        <v>11900</v>
      </c>
      <c r="H38" s="390">
        <f>G38</f>
        <v>11900</v>
      </c>
      <c r="I38" s="390"/>
      <c r="J38" s="390"/>
      <c r="K38" s="391"/>
      <c r="L38" s="789" t="s">
        <v>295</v>
      </c>
      <c r="M38" s="392" t="s">
        <v>116</v>
      </c>
      <c r="N38" s="260"/>
      <c r="O38" s="260"/>
      <c r="P38" s="260"/>
      <c r="R38" s="214"/>
      <c r="S38" s="215"/>
      <c r="U38" s="215"/>
    </row>
    <row r="39" spans="1:21">
      <c r="B39" s="393"/>
      <c r="C39" s="394"/>
      <c r="D39" s="394" t="s">
        <v>117</v>
      </c>
      <c r="E39" s="388"/>
      <c r="F39" s="395" t="s">
        <v>118</v>
      </c>
      <c r="G39" s="396">
        <f>16*400</f>
        <v>6400</v>
      </c>
      <c r="H39" s="396">
        <f>G39</f>
        <v>6400</v>
      </c>
      <c r="I39" s="396"/>
      <c r="J39" s="396"/>
      <c r="K39" s="397"/>
      <c r="L39" s="790"/>
      <c r="M39" s="398"/>
      <c r="N39" s="260"/>
      <c r="O39" s="260"/>
      <c r="P39" s="260"/>
      <c r="R39" s="214"/>
      <c r="S39" s="215"/>
      <c r="U39" s="215"/>
    </row>
    <row r="40" spans="1:21">
      <c r="B40" s="250" t="s">
        <v>119</v>
      </c>
      <c r="C40" s="257" t="s">
        <v>120</v>
      </c>
      <c r="D40" s="257"/>
      <c r="E40" s="258"/>
      <c r="F40" s="259"/>
      <c r="G40" s="253"/>
      <c r="H40" s="253"/>
      <c r="I40" s="253"/>
      <c r="J40" s="253"/>
      <c r="K40" s="254"/>
      <c r="L40" s="255"/>
      <c r="M40" s="261"/>
      <c r="R40" s="214"/>
      <c r="S40" s="215"/>
      <c r="U40" s="215"/>
    </row>
    <row r="41" spans="1:21">
      <c r="B41" s="262"/>
      <c r="C41" s="263" t="s">
        <v>121</v>
      </c>
      <c r="D41" s="264"/>
      <c r="E41" s="265"/>
      <c r="F41" s="266"/>
      <c r="G41" s="267"/>
      <c r="H41" s="267"/>
      <c r="I41" s="267"/>
      <c r="J41" s="267"/>
      <c r="K41" s="268"/>
      <c r="L41" s="269"/>
      <c r="M41" s="270"/>
      <c r="R41" s="214"/>
      <c r="S41" s="215"/>
      <c r="U41" s="215"/>
    </row>
    <row r="42" spans="1:21" ht="21.75" customHeight="1" thickBot="1">
      <c r="B42" s="271"/>
      <c r="C42" s="272" t="s">
        <v>122</v>
      </c>
      <c r="D42" s="273" t="s">
        <v>79</v>
      </c>
      <c r="E42" s="274">
        <v>38609</v>
      </c>
      <c r="F42" s="275" t="s">
        <v>123</v>
      </c>
      <c r="G42" s="276">
        <v>1700</v>
      </c>
      <c r="H42" s="276">
        <f>G42</f>
        <v>1700</v>
      </c>
      <c r="I42" s="276"/>
      <c r="J42" s="276"/>
      <c r="K42" s="277">
        <v>1894</v>
      </c>
      <c r="L42" s="278"/>
      <c r="M42" s="279" t="s">
        <v>124</v>
      </c>
      <c r="R42" s="214"/>
      <c r="S42" s="215"/>
      <c r="U42" s="215"/>
    </row>
    <row r="43" spans="1:21">
      <c r="B43" s="192"/>
      <c r="C43" s="192"/>
      <c r="D43" s="201"/>
      <c r="E43" s="280"/>
      <c r="F43" s="281"/>
      <c r="G43" s="282"/>
      <c r="H43" s="282"/>
      <c r="I43" s="282"/>
      <c r="J43" s="282"/>
      <c r="K43" s="283"/>
      <c r="L43" s="284"/>
      <c r="M43" s="201"/>
      <c r="R43" s="214"/>
      <c r="S43" s="215"/>
      <c r="U43" s="215"/>
    </row>
    <row r="44" spans="1:21" ht="15.75" thickBot="1">
      <c r="B44" s="192"/>
      <c r="C44" s="192"/>
      <c r="D44" s="201"/>
      <c r="E44" s="280"/>
      <c r="F44" s="281"/>
      <c r="G44" s="282"/>
      <c r="H44" s="282"/>
      <c r="I44" s="282"/>
      <c r="J44" s="282"/>
      <c r="K44" s="283"/>
      <c r="L44" s="284"/>
      <c r="M44" s="201"/>
      <c r="R44" s="214"/>
      <c r="S44" s="215"/>
      <c r="U44" s="215"/>
    </row>
    <row r="45" spans="1:21" s="182" customFormat="1" ht="75.75" thickBot="1">
      <c r="B45" s="185" t="s">
        <v>58</v>
      </c>
      <c r="C45" s="186" t="s">
        <v>59</v>
      </c>
      <c r="D45" s="186" t="s">
        <v>60</v>
      </c>
      <c r="E45" s="186" t="s">
        <v>61</v>
      </c>
      <c r="F45" s="186" t="s">
        <v>62</v>
      </c>
      <c r="G45" s="187" t="s">
        <v>234</v>
      </c>
      <c r="H45" s="187" t="str">
        <f>H3</f>
        <v>Asset value</v>
      </c>
      <c r="I45" s="187"/>
      <c r="J45" s="187"/>
      <c r="K45" s="188" t="s">
        <v>63</v>
      </c>
      <c r="L45" s="186" t="s">
        <v>64</v>
      </c>
      <c r="M45" s="189" t="s">
        <v>65</v>
      </c>
      <c r="N45" s="190"/>
      <c r="O45" s="190"/>
      <c r="P45" s="190"/>
      <c r="R45" s="191"/>
      <c r="S45" s="190"/>
      <c r="U45" s="190"/>
    </row>
    <row r="46" spans="1:21" ht="12.95" customHeight="1">
      <c r="B46" s="285"/>
      <c r="C46" s="286" t="s">
        <v>125</v>
      </c>
      <c r="D46" s="287"/>
      <c r="E46" s="288"/>
      <c r="F46" s="786" t="s">
        <v>276</v>
      </c>
      <c r="G46" s="289"/>
      <c r="H46" s="289"/>
      <c r="I46" s="289"/>
      <c r="J46" s="289"/>
      <c r="K46" s="290"/>
      <c r="L46" s="291"/>
      <c r="M46" s="292"/>
      <c r="R46" s="214"/>
      <c r="S46" s="215"/>
      <c r="U46" s="215"/>
    </row>
    <row r="47" spans="1:21" ht="12.95" customHeight="1">
      <c r="B47" s="293"/>
      <c r="C47" s="294" t="s">
        <v>126</v>
      </c>
      <c r="D47" s="295" t="s">
        <v>127</v>
      </c>
      <c r="E47" s="296"/>
      <c r="F47" s="787"/>
      <c r="G47" s="297"/>
      <c r="H47" s="297"/>
      <c r="I47" s="297"/>
      <c r="J47" s="297"/>
      <c r="K47" s="298"/>
      <c r="L47" s="299">
        <v>39203</v>
      </c>
      <c r="M47" s="300" t="s">
        <v>128</v>
      </c>
      <c r="R47" s="235"/>
      <c r="S47" s="215"/>
      <c r="U47" s="215"/>
    </row>
    <row r="48" spans="1:21" ht="12.95" customHeight="1">
      <c r="B48" s="293"/>
      <c r="C48" s="301" t="s">
        <v>126</v>
      </c>
      <c r="D48" s="302"/>
      <c r="E48" s="303">
        <v>39211</v>
      </c>
      <c r="F48" s="787"/>
      <c r="G48" s="304">
        <v>4200</v>
      </c>
      <c r="H48" s="304">
        <f>G48</f>
        <v>4200</v>
      </c>
      <c r="I48" s="304"/>
      <c r="J48" s="304"/>
      <c r="K48" s="305"/>
      <c r="L48" s="306"/>
      <c r="M48" s="300"/>
      <c r="R48" s="235"/>
      <c r="S48" s="215"/>
      <c r="U48" s="215"/>
    </row>
    <row r="49" spans="2:21" ht="12.95" customHeight="1">
      <c r="B49" s="293"/>
      <c r="C49" s="307" t="s">
        <v>129</v>
      </c>
      <c r="D49" s="295"/>
      <c r="E49" s="296" t="s">
        <v>130</v>
      </c>
      <c r="F49" s="787"/>
      <c r="G49" s="308">
        <v>672</v>
      </c>
      <c r="H49" s="309">
        <f>G49</f>
        <v>672</v>
      </c>
      <c r="I49" s="309"/>
      <c r="J49" s="309"/>
      <c r="K49" s="310"/>
      <c r="L49" s="306"/>
      <c r="M49" s="300"/>
      <c r="R49" s="214"/>
      <c r="S49" s="215"/>
      <c r="U49" s="215"/>
    </row>
    <row r="50" spans="2:21" ht="12.95" customHeight="1">
      <c r="B50" s="293"/>
      <c r="C50" s="301" t="s">
        <v>131</v>
      </c>
      <c r="D50" s="311"/>
      <c r="E50" s="312" t="s">
        <v>132</v>
      </c>
      <c r="F50" s="369"/>
      <c r="G50" s="313">
        <v>907</v>
      </c>
      <c r="H50" s="304">
        <f>G50</f>
        <v>907</v>
      </c>
      <c r="I50" s="304"/>
      <c r="J50" s="304"/>
      <c r="K50" s="310"/>
      <c r="L50" s="306"/>
      <c r="M50" s="300"/>
      <c r="R50" s="214"/>
      <c r="S50" s="215"/>
      <c r="U50" s="215"/>
    </row>
    <row r="51" spans="2:21" ht="12.95" customHeight="1">
      <c r="B51" s="293"/>
      <c r="C51" s="307" t="s">
        <v>133</v>
      </c>
      <c r="D51" s="295"/>
      <c r="E51" s="314" t="s">
        <v>134</v>
      </c>
      <c r="F51" s="369"/>
      <c r="G51" s="308">
        <v>0</v>
      </c>
      <c r="H51" s="309">
        <f>G51</f>
        <v>0</v>
      </c>
      <c r="I51" s="309"/>
      <c r="J51" s="309"/>
      <c r="K51" s="310"/>
      <c r="L51" s="306"/>
      <c r="M51" s="300"/>
      <c r="R51" s="214"/>
      <c r="S51" s="215"/>
      <c r="U51" s="215"/>
    </row>
    <row r="52" spans="2:21" ht="12.95" customHeight="1">
      <c r="B52" s="293"/>
      <c r="C52" s="301" t="s">
        <v>135</v>
      </c>
      <c r="D52" s="311"/>
      <c r="E52" s="303"/>
      <c r="F52" s="369"/>
      <c r="G52" s="313">
        <v>1362</v>
      </c>
      <c r="H52" s="304">
        <f>G52</f>
        <v>1362</v>
      </c>
      <c r="I52" s="304"/>
      <c r="J52" s="304"/>
      <c r="K52" s="310"/>
      <c r="L52" s="306"/>
      <c r="M52" s="300"/>
      <c r="R52" s="214"/>
      <c r="S52" s="215"/>
      <c r="U52" s="215"/>
    </row>
    <row r="53" spans="2:21" ht="12.95" hidden="1" customHeight="1">
      <c r="B53" s="293"/>
      <c r="C53" s="307" t="s">
        <v>136</v>
      </c>
      <c r="D53" s="295"/>
      <c r="E53" s="806" t="s">
        <v>137</v>
      </c>
      <c r="F53" s="369"/>
      <c r="G53" s="315">
        <v>4469</v>
      </c>
      <c r="H53" s="308">
        <v>0</v>
      </c>
      <c r="I53" s="308"/>
      <c r="J53" s="308"/>
      <c r="K53" s="316"/>
      <c r="L53" s="306" t="s">
        <v>233</v>
      </c>
      <c r="M53" s="300"/>
      <c r="R53" s="214"/>
      <c r="S53" s="215"/>
      <c r="U53" s="215"/>
    </row>
    <row r="54" spans="2:21" ht="12.95" hidden="1" customHeight="1">
      <c r="B54" s="293"/>
      <c r="C54" s="301" t="s">
        <v>138</v>
      </c>
      <c r="D54" s="311"/>
      <c r="E54" s="806"/>
      <c r="F54" s="369"/>
      <c r="G54" s="317">
        <v>1173</v>
      </c>
      <c r="H54" s="313">
        <v>0</v>
      </c>
      <c r="I54" s="313"/>
      <c r="J54" s="313"/>
      <c r="K54" s="316"/>
      <c r="L54" s="306" t="s">
        <v>233</v>
      </c>
      <c r="M54" s="300"/>
      <c r="R54" s="214"/>
      <c r="S54" s="215"/>
      <c r="U54" s="215"/>
    </row>
    <row r="55" spans="2:21" ht="12.95" hidden="1" customHeight="1">
      <c r="B55" s="293"/>
      <c r="C55" s="307" t="s">
        <v>139</v>
      </c>
      <c r="D55" s="295"/>
      <c r="E55" s="806"/>
      <c r="F55" s="369"/>
      <c r="G55" s="315">
        <v>602</v>
      </c>
      <c r="H55" s="308">
        <v>0</v>
      </c>
      <c r="I55" s="308"/>
      <c r="J55" s="308"/>
      <c r="K55" s="316"/>
      <c r="L55" s="306" t="s">
        <v>233</v>
      </c>
      <c r="M55" s="300"/>
      <c r="R55" s="214"/>
      <c r="S55" s="215"/>
      <c r="U55" s="215"/>
    </row>
    <row r="56" spans="2:21" ht="12.95" hidden="1" customHeight="1">
      <c r="B56" s="293"/>
      <c r="C56" s="301" t="s">
        <v>140</v>
      </c>
      <c r="D56" s="311"/>
      <c r="E56" s="806"/>
      <c r="F56" s="369"/>
      <c r="G56" s="317"/>
      <c r="H56" s="317"/>
      <c r="I56" s="317"/>
      <c r="J56" s="317"/>
      <c r="K56" s="316"/>
      <c r="L56" s="306"/>
      <c r="M56" s="300" t="s">
        <v>141</v>
      </c>
      <c r="R56" s="214"/>
      <c r="S56" s="215"/>
      <c r="U56" s="215"/>
    </row>
    <row r="57" spans="2:21" ht="12.95" customHeight="1">
      <c r="B57" s="293"/>
      <c r="C57" s="307" t="s">
        <v>142</v>
      </c>
      <c r="D57" s="295"/>
      <c r="E57" s="806"/>
      <c r="F57" s="369"/>
      <c r="G57" s="315">
        <v>722</v>
      </c>
      <c r="H57" s="315">
        <f>G57</f>
        <v>722</v>
      </c>
      <c r="I57" s="315"/>
      <c r="J57" s="315"/>
      <c r="K57" s="316"/>
      <c r="L57" s="306"/>
      <c r="M57" s="300"/>
      <c r="R57" s="214"/>
      <c r="S57" s="215"/>
      <c r="U57" s="215"/>
    </row>
    <row r="58" spans="2:21" ht="12.95" hidden="1" customHeight="1">
      <c r="B58" s="293"/>
      <c r="C58" s="301" t="s">
        <v>143</v>
      </c>
      <c r="D58" s="311"/>
      <c r="E58" s="806"/>
      <c r="F58" s="369"/>
      <c r="G58" s="317">
        <v>4370</v>
      </c>
      <c r="H58" s="313">
        <v>0</v>
      </c>
      <c r="I58" s="313"/>
      <c r="J58" s="313"/>
      <c r="K58" s="316"/>
      <c r="L58" s="306" t="s">
        <v>233</v>
      </c>
      <c r="M58" s="318"/>
      <c r="R58" s="214"/>
      <c r="S58" s="215"/>
      <c r="U58" s="215"/>
    </row>
    <row r="59" spans="2:21" ht="12.95" customHeight="1">
      <c r="B59" s="293"/>
      <c r="C59" s="307" t="s">
        <v>144</v>
      </c>
      <c r="D59" s="295"/>
      <c r="E59" s="296">
        <v>38792</v>
      </c>
      <c r="F59" s="369"/>
      <c r="G59" s="315">
        <v>1468</v>
      </c>
      <c r="H59" s="315">
        <f>G59</f>
        <v>1468</v>
      </c>
      <c r="I59" s="315"/>
      <c r="J59" s="315"/>
      <c r="K59" s="316"/>
      <c r="L59" s="306"/>
      <c r="M59" s="318"/>
      <c r="R59" s="214"/>
      <c r="S59" s="215"/>
      <c r="U59" s="215"/>
    </row>
    <row r="60" spans="2:21" ht="12.95" customHeight="1">
      <c r="B60" s="293"/>
      <c r="C60" s="301" t="s">
        <v>57</v>
      </c>
      <c r="D60" s="311"/>
      <c r="E60" s="296"/>
      <c r="F60" s="369"/>
      <c r="G60" s="317">
        <v>5400</v>
      </c>
      <c r="H60" s="317">
        <f>G60</f>
        <v>5400</v>
      </c>
      <c r="I60" s="317"/>
      <c r="J60" s="317"/>
      <c r="K60" s="316"/>
      <c r="L60" s="306"/>
      <c r="M60" s="318"/>
      <c r="R60" s="214"/>
      <c r="S60" s="215"/>
      <c r="U60" s="215"/>
    </row>
    <row r="61" spans="2:21" ht="12.95" customHeight="1">
      <c r="B61" s="293"/>
      <c r="C61" s="307" t="s">
        <v>235</v>
      </c>
      <c r="D61" s="295" t="s">
        <v>236</v>
      </c>
      <c r="E61" s="319">
        <v>42644</v>
      </c>
      <c r="F61" s="369"/>
      <c r="G61" s="315"/>
      <c r="H61" s="315">
        <v>2853</v>
      </c>
      <c r="I61" s="315"/>
      <c r="J61" s="315"/>
      <c r="K61" s="316"/>
      <c r="L61" s="306"/>
      <c r="M61" s="318"/>
      <c r="R61" s="214"/>
      <c r="S61" s="215"/>
      <c r="U61" s="215"/>
    </row>
    <row r="62" spans="2:21" ht="12.95" customHeight="1">
      <c r="B62" s="293"/>
      <c r="C62" s="301" t="s">
        <v>237</v>
      </c>
      <c r="D62" s="311" t="s">
        <v>238</v>
      </c>
      <c r="E62" s="320">
        <v>42644</v>
      </c>
      <c r="F62" s="369"/>
      <c r="G62" s="317"/>
      <c r="H62" s="317">
        <v>1621</v>
      </c>
      <c r="I62" s="317"/>
      <c r="J62" s="317"/>
      <c r="K62" s="316"/>
      <c r="L62" s="306"/>
      <c r="M62" s="318"/>
      <c r="R62" s="214"/>
      <c r="S62" s="215"/>
      <c r="U62" s="215"/>
    </row>
    <row r="63" spans="2:21" ht="12.95" customHeight="1">
      <c r="B63" s="293"/>
      <c r="C63" s="307" t="s">
        <v>239</v>
      </c>
      <c r="D63" s="295" t="s">
        <v>240</v>
      </c>
      <c r="E63" s="319">
        <v>42644</v>
      </c>
      <c r="F63" s="369"/>
      <c r="G63" s="315"/>
      <c r="H63" s="315">
        <v>7620</v>
      </c>
      <c r="I63" s="315"/>
      <c r="J63" s="315"/>
      <c r="K63" s="316"/>
      <c r="L63" s="306"/>
      <c r="M63" s="318"/>
      <c r="R63" s="214"/>
      <c r="S63" s="215"/>
      <c r="U63" s="215"/>
    </row>
    <row r="64" spans="2:21" ht="12.95" customHeight="1">
      <c r="B64" s="293"/>
      <c r="C64" s="301" t="s">
        <v>242</v>
      </c>
      <c r="D64" s="311" t="s">
        <v>241</v>
      </c>
      <c r="E64" s="320">
        <v>42644</v>
      </c>
      <c r="F64" s="369"/>
      <c r="G64" s="317"/>
      <c r="H64" s="317">
        <v>4366</v>
      </c>
      <c r="I64" s="317"/>
      <c r="J64" s="317"/>
      <c r="K64" s="316"/>
      <c r="L64" s="306"/>
      <c r="M64" s="318"/>
      <c r="R64" s="214"/>
      <c r="S64" s="215"/>
      <c r="U64" s="215"/>
    </row>
    <row r="65" spans="2:21" ht="12.95" customHeight="1">
      <c r="B65" s="293"/>
      <c r="C65" s="307" t="s">
        <v>243</v>
      </c>
      <c r="D65" s="295" t="s">
        <v>244</v>
      </c>
      <c r="E65" s="319">
        <v>42644</v>
      </c>
      <c r="F65" s="369"/>
      <c r="G65" s="315"/>
      <c r="H65" s="315">
        <v>5395</v>
      </c>
      <c r="I65" s="315"/>
      <c r="J65" s="315"/>
      <c r="K65" s="316"/>
      <c r="L65" s="306"/>
      <c r="M65" s="318"/>
      <c r="R65" s="214"/>
      <c r="S65" s="215"/>
      <c r="U65" s="215"/>
    </row>
    <row r="66" spans="2:21" ht="12.95" customHeight="1">
      <c r="B66" s="293"/>
      <c r="C66" s="301" t="s">
        <v>245</v>
      </c>
      <c r="D66" s="311" t="s">
        <v>246</v>
      </c>
      <c r="E66" s="320">
        <v>42644</v>
      </c>
      <c r="F66" s="369"/>
      <c r="G66" s="317"/>
      <c r="H66" s="317">
        <v>737</v>
      </c>
      <c r="I66" s="317"/>
      <c r="J66" s="317"/>
      <c r="K66" s="316"/>
      <c r="L66" s="306"/>
      <c r="M66" s="318"/>
      <c r="R66" s="214"/>
      <c r="S66" s="215"/>
      <c r="U66" s="215"/>
    </row>
    <row r="67" spans="2:21" ht="12.95" customHeight="1">
      <c r="B67" s="293"/>
      <c r="C67" s="307" t="s">
        <v>258</v>
      </c>
      <c r="D67" s="295" t="s">
        <v>259</v>
      </c>
      <c r="E67" s="319">
        <v>43525</v>
      </c>
      <c r="F67" s="369"/>
      <c r="G67" s="315"/>
      <c r="H67" s="350">
        <v>5615</v>
      </c>
      <c r="I67" s="350"/>
      <c r="J67" s="350"/>
      <c r="K67" s="316"/>
      <c r="L67" s="306"/>
      <c r="M67" s="318" t="s">
        <v>296</v>
      </c>
      <c r="R67" s="214"/>
      <c r="S67" s="215"/>
      <c r="U67" s="215"/>
    </row>
    <row r="68" spans="2:21" ht="12.95" customHeight="1">
      <c r="B68" s="367"/>
      <c r="C68" s="408" t="s">
        <v>202</v>
      </c>
      <c r="D68" s="368"/>
      <c r="E68" s="319"/>
      <c r="F68" s="369"/>
      <c r="G68" s="317">
        <v>550</v>
      </c>
      <c r="H68" s="317">
        <f>G68</f>
        <v>550</v>
      </c>
      <c r="I68" s="317"/>
      <c r="J68" s="317"/>
      <c r="K68" s="316">
        <f>SUM(H48:H68)</f>
        <v>43488</v>
      </c>
      <c r="L68" s="306"/>
      <c r="M68" s="318"/>
      <c r="R68" s="214"/>
      <c r="S68" s="215"/>
      <c r="U68" s="215"/>
    </row>
    <row r="69" spans="2:21" ht="12.95" customHeight="1">
      <c r="B69" s="810" t="s">
        <v>278</v>
      </c>
      <c r="C69" s="406" t="s">
        <v>277</v>
      </c>
      <c r="D69" s="814" t="s">
        <v>275</v>
      </c>
      <c r="E69" s="812">
        <v>44256</v>
      </c>
      <c r="F69" s="816" t="s">
        <v>280</v>
      </c>
      <c r="G69" s="370"/>
      <c r="H69" s="409">
        <f>1011.45+170+30+65.64+45</f>
        <v>1322.09</v>
      </c>
      <c r="I69" s="370"/>
      <c r="J69" s="370"/>
      <c r="K69" s="317"/>
      <c r="L69" s="371"/>
      <c r="M69" s="372"/>
      <c r="R69" s="214"/>
      <c r="S69" s="215"/>
      <c r="U69" s="215"/>
    </row>
    <row r="70" spans="2:21" ht="12.95" customHeight="1">
      <c r="B70" s="810"/>
      <c r="C70" s="406" t="s">
        <v>279</v>
      </c>
      <c r="D70" s="814"/>
      <c r="E70" s="812"/>
      <c r="F70" s="816"/>
      <c r="G70" s="370"/>
      <c r="H70" s="409">
        <f>1060.9+170+30+65.65+45</f>
        <v>1371.55</v>
      </c>
      <c r="I70" s="370"/>
      <c r="J70" s="370"/>
      <c r="K70" s="317"/>
      <c r="L70" s="371"/>
      <c r="M70" s="372"/>
      <c r="R70" s="214"/>
      <c r="S70" s="215"/>
      <c r="U70" s="215"/>
    </row>
    <row r="71" spans="2:21" ht="12.95" customHeight="1">
      <c r="B71" s="810"/>
      <c r="C71" s="406" t="s">
        <v>281</v>
      </c>
      <c r="D71" s="814"/>
      <c r="E71" s="812"/>
      <c r="F71" s="816"/>
      <c r="G71" s="370"/>
      <c r="H71" s="409">
        <f>885.58+170+65.64+30+45</f>
        <v>1196.22</v>
      </c>
      <c r="I71" s="370"/>
      <c r="J71" s="370"/>
      <c r="K71" s="317"/>
      <c r="L71" s="371"/>
      <c r="M71" s="372"/>
      <c r="R71" s="214"/>
      <c r="S71" s="215"/>
      <c r="U71" s="215"/>
    </row>
    <row r="72" spans="2:21" ht="12.95" customHeight="1">
      <c r="B72" s="810"/>
      <c r="C72" s="406" t="s">
        <v>282</v>
      </c>
      <c r="D72" s="814"/>
      <c r="E72" s="812"/>
      <c r="F72" s="816"/>
      <c r="G72" s="370"/>
      <c r="H72" s="409">
        <f>2027.4+170+64.64+30+45</f>
        <v>2337.04</v>
      </c>
      <c r="I72" s="370"/>
      <c r="J72" s="370"/>
      <c r="K72" s="317"/>
      <c r="L72" s="371"/>
      <c r="M72" s="372"/>
      <c r="R72" s="214"/>
      <c r="S72" s="215"/>
      <c r="U72" s="215"/>
    </row>
    <row r="73" spans="2:21" ht="12.95" customHeight="1">
      <c r="B73" s="810"/>
      <c r="C73" s="406" t="s">
        <v>283</v>
      </c>
      <c r="D73" s="814"/>
      <c r="E73" s="812"/>
      <c r="F73" s="816"/>
      <c r="G73" s="370"/>
      <c r="H73" s="409">
        <f>678.8+170+60+131.28+90</f>
        <v>1130.08</v>
      </c>
      <c r="I73" s="370"/>
      <c r="J73" s="370"/>
      <c r="K73" s="317"/>
      <c r="L73" s="371"/>
      <c r="M73" s="372"/>
      <c r="R73" s="214"/>
      <c r="S73" s="215"/>
      <c r="U73" s="215"/>
    </row>
    <row r="74" spans="2:21" ht="12.95" customHeight="1">
      <c r="B74" s="810"/>
      <c r="C74" s="406" t="s">
        <v>284</v>
      </c>
      <c r="D74" s="814"/>
      <c r="E74" s="812"/>
      <c r="F74" s="816"/>
      <c r="G74" s="370"/>
      <c r="H74" s="409">
        <f>678.8+170+30+65.64+45</f>
        <v>989.44</v>
      </c>
      <c r="I74" s="370"/>
      <c r="J74" s="370"/>
      <c r="K74" s="317"/>
      <c r="L74" s="371"/>
      <c r="M74" s="372"/>
      <c r="R74" s="214"/>
      <c r="S74" s="215"/>
      <c r="U74" s="215"/>
    </row>
    <row r="75" spans="2:21" ht="12.95" customHeight="1">
      <c r="B75" s="810"/>
      <c r="C75" s="406" t="s">
        <v>285</v>
      </c>
      <c r="D75" s="814"/>
      <c r="E75" s="812"/>
      <c r="F75" s="816"/>
      <c r="G75" s="370"/>
      <c r="H75" s="409">
        <f>1044.45+170+60+131.28+90</f>
        <v>1495.73</v>
      </c>
      <c r="I75" s="370"/>
      <c r="J75" s="370"/>
      <c r="K75" s="317"/>
      <c r="L75" s="371"/>
      <c r="M75" s="372"/>
      <c r="R75" s="214"/>
      <c r="S75" s="215"/>
      <c r="U75" s="215"/>
    </row>
    <row r="76" spans="2:21">
      <c r="B76" s="811"/>
      <c r="C76" s="407" t="s">
        <v>286</v>
      </c>
      <c r="D76" s="815"/>
      <c r="E76" s="813"/>
      <c r="F76" s="817"/>
      <c r="G76" s="373"/>
      <c r="H76" s="373">
        <f>234+664.32+103+78+90</f>
        <v>1169.32</v>
      </c>
      <c r="I76" s="373"/>
      <c r="J76" s="373"/>
      <c r="K76" s="373">
        <f>SUM(H69:H76)</f>
        <v>11011.47</v>
      </c>
      <c r="L76" s="374"/>
      <c r="M76" s="375"/>
      <c r="R76" s="214"/>
      <c r="S76" s="215"/>
      <c r="U76" s="215"/>
    </row>
    <row r="77" spans="2:21">
      <c r="B77" s="227"/>
      <c r="C77" s="216" t="s">
        <v>145</v>
      </c>
      <c r="D77" s="321"/>
      <c r="E77" s="322"/>
      <c r="G77" s="210"/>
      <c r="H77" s="210"/>
      <c r="I77" s="210"/>
      <c r="J77" s="210"/>
      <c r="K77" s="211"/>
      <c r="L77" s="209"/>
      <c r="M77" s="212"/>
      <c r="R77" s="235"/>
      <c r="S77" s="215"/>
      <c r="U77" s="215"/>
    </row>
    <row r="78" spans="2:21">
      <c r="B78" s="206"/>
      <c r="C78" s="207" t="s">
        <v>146</v>
      </c>
      <c r="D78" s="323"/>
      <c r="E78" s="324"/>
      <c r="G78" s="210"/>
      <c r="H78" s="210"/>
      <c r="I78" s="210"/>
      <c r="J78" s="210"/>
      <c r="K78" s="211"/>
      <c r="L78" s="209"/>
      <c r="M78" s="212" t="s">
        <v>147</v>
      </c>
      <c r="R78" s="235"/>
      <c r="S78" s="215"/>
      <c r="U78" s="215"/>
    </row>
    <row r="79" spans="2:21">
      <c r="B79" s="206"/>
      <c r="C79" s="207" t="s">
        <v>148</v>
      </c>
      <c r="D79" s="321">
        <v>39646</v>
      </c>
      <c r="E79" s="324"/>
      <c r="G79" s="210">
        <v>48</v>
      </c>
      <c r="H79" s="210">
        <v>48</v>
      </c>
      <c r="I79" s="210"/>
      <c r="J79" s="210"/>
      <c r="K79" s="211"/>
      <c r="L79" s="209"/>
      <c r="M79" s="212"/>
      <c r="R79" s="235"/>
      <c r="S79" s="215"/>
      <c r="U79" s="215"/>
    </row>
    <row r="80" spans="2:21">
      <c r="B80" s="206"/>
      <c r="C80" s="207" t="s">
        <v>149</v>
      </c>
      <c r="D80" s="321">
        <v>39646</v>
      </c>
      <c r="E80" s="324"/>
      <c r="G80" s="210">
        <v>30</v>
      </c>
      <c r="H80" s="210">
        <v>0</v>
      </c>
      <c r="I80" s="210"/>
      <c r="J80" s="210"/>
      <c r="K80" s="211"/>
      <c r="L80" s="209" t="s">
        <v>247</v>
      </c>
      <c r="M80" s="212"/>
      <c r="R80" s="235"/>
      <c r="S80" s="215"/>
      <c r="U80" s="215"/>
    </row>
    <row r="81" spans="2:21" ht="15.75" customHeight="1">
      <c r="B81" s="206"/>
      <c r="C81" s="207" t="s">
        <v>150</v>
      </c>
      <c r="D81" s="321">
        <v>39646</v>
      </c>
      <c r="E81" s="324"/>
      <c r="G81" s="210">
        <v>21</v>
      </c>
      <c r="H81" s="210"/>
      <c r="I81" s="210"/>
      <c r="J81" s="210"/>
      <c r="K81" s="211"/>
      <c r="L81" s="209"/>
      <c r="M81" s="212"/>
      <c r="R81" s="214"/>
      <c r="S81" s="215"/>
      <c r="U81" s="215"/>
    </row>
    <row r="82" spans="2:21">
      <c r="B82" s="206"/>
      <c r="C82" s="207" t="s">
        <v>151</v>
      </c>
      <c r="D82" s="321">
        <v>37823</v>
      </c>
      <c r="E82" s="322"/>
      <c r="G82" s="210">
        <v>343</v>
      </c>
      <c r="H82" s="210">
        <v>343</v>
      </c>
      <c r="I82" s="210"/>
      <c r="J82" s="210"/>
      <c r="K82" s="211"/>
      <c r="L82" s="209"/>
      <c r="M82" s="807"/>
      <c r="R82" s="214"/>
      <c r="S82" s="215"/>
      <c r="U82" s="215"/>
    </row>
    <row r="83" spans="2:21">
      <c r="B83" s="325"/>
      <c r="C83" s="326" t="s">
        <v>152</v>
      </c>
      <c r="D83" s="327">
        <v>38460</v>
      </c>
      <c r="E83" s="328"/>
      <c r="F83" s="329"/>
      <c r="G83" s="210">
        <v>400</v>
      </c>
      <c r="H83" s="210">
        <v>400</v>
      </c>
      <c r="I83" s="210"/>
      <c r="J83" s="210"/>
      <c r="K83" s="330">
        <v>799</v>
      </c>
      <c r="L83" s="223"/>
      <c r="M83" s="796"/>
      <c r="R83" s="214"/>
      <c r="S83" s="215"/>
      <c r="U83" s="215"/>
    </row>
    <row r="84" spans="2:21">
      <c r="B84" s="262"/>
      <c r="C84" s="263" t="s">
        <v>153</v>
      </c>
      <c r="D84" s="331"/>
      <c r="E84" s="332"/>
      <c r="F84" s="333"/>
      <c r="G84" s="219"/>
      <c r="H84" s="219"/>
      <c r="I84" s="219"/>
      <c r="J84" s="219"/>
      <c r="K84" s="268"/>
      <c r="L84" s="334"/>
      <c r="M84" s="270"/>
      <c r="R84" s="235"/>
      <c r="S84" s="215"/>
      <c r="U84" s="215"/>
    </row>
    <row r="85" spans="2:21">
      <c r="B85" s="367"/>
      <c r="C85" s="422"/>
      <c r="D85" s="421"/>
      <c r="E85" s="414"/>
      <c r="F85" s="284"/>
      <c r="G85" s="246"/>
      <c r="H85" s="246"/>
      <c r="I85" s="246"/>
      <c r="J85" s="246"/>
      <c r="K85" s="808"/>
      <c r="L85" s="237"/>
      <c r="M85" s="415"/>
      <c r="R85" s="235"/>
      <c r="S85" s="215"/>
      <c r="U85" s="215"/>
    </row>
    <row r="86" spans="2:21">
      <c r="B86" s="293"/>
      <c r="C86" s="422" t="s">
        <v>299</v>
      </c>
      <c r="D86" s="413"/>
      <c r="E86" s="414"/>
      <c r="F86" s="284"/>
      <c r="G86" s="246"/>
      <c r="H86" s="246"/>
      <c r="I86" s="246"/>
      <c r="J86" s="246"/>
      <c r="K86" s="808"/>
      <c r="L86" s="237"/>
      <c r="M86" s="415"/>
      <c r="R86" s="214"/>
      <c r="S86" s="215"/>
      <c r="U86" s="215"/>
    </row>
    <row r="87" spans="2:21">
      <c r="B87" s="293"/>
      <c r="C87" s="307" t="s">
        <v>300</v>
      </c>
      <c r="D87" s="413"/>
      <c r="E87" s="414"/>
      <c r="F87" s="284"/>
      <c r="G87" s="246"/>
      <c r="H87" s="246">
        <v>53</v>
      </c>
      <c r="I87" s="246"/>
      <c r="J87" s="246"/>
      <c r="K87" s="808"/>
      <c r="L87" s="237"/>
      <c r="M87" s="415"/>
      <c r="R87" s="214"/>
      <c r="S87" s="215"/>
      <c r="U87" s="215"/>
    </row>
    <row r="88" spans="2:21">
      <c r="B88" s="293"/>
      <c r="C88" s="307" t="s">
        <v>301</v>
      </c>
      <c r="D88" s="413"/>
      <c r="E88" s="414"/>
      <c r="F88" s="284"/>
      <c r="G88" s="246"/>
      <c r="H88" s="246">
        <v>18.95</v>
      </c>
      <c r="I88" s="246"/>
      <c r="J88" s="246"/>
      <c r="K88" s="808"/>
      <c r="L88" s="237"/>
      <c r="M88" s="415"/>
      <c r="R88" s="214"/>
      <c r="S88" s="215"/>
      <c r="U88" s="215"/>
    </row>
    <row r="89" spans="2:21">
      <c r="B89" s="293"/>
      <c r="C89" s="307" t="s">
        <v>302</v>
      </c>
      <c r="D89" s="413"/>
      <c r="E89" s="414"/>
      <c r="F89" s="284"/>
      <c r="G89" s="246"/>
      <c r="H89" s="246">
        <v>9.99</v>
      </c>
      <c r="I89" s="246"/>
      <c r="J89" s="246"/>
      <c r="K89" s="808"/>
      <c r="L89" s="237"/>
      <c r="M89" s="415"/>
      <c r="R89" s="214"/>
      <c r="S89" s="215"/>
      <c r="U89" s="215"/>
    </row>
    <row r="90" spans="2:21">
      <c r="B90" s="293"/>
      <c r="C90" s="307" t="s">
        <v>300</v>
      </c>
      <c r="D90" s="413"/>
      <c r="E90" s="414"/>
      <c r="F90" s="284"/>
      <c r="G90" s="246"/>
      <c r="H90" s="246">
        <v>38.65</v>
      </c>
      <c r="I90" s="246"/>
      <c r="J90" s="246"/>
      <c r="K90" s="808"/>
      <c r="L90" s="237"/>
      <c r="M90" s="415"/>
      <c r="R90" s="214"/>
      <c r="S90" s="215"/>
      <c r="U90" s="215"/>
    </row>
    <row r="91" spans="2:21" ht="15" customHeight="1">
      <c r="B91" s="293"/>
      <c r="C91" s="307" t="s">
        <v>303</v>
      </c>
      <c r="D91" s="295"/>
      <c r="E91" s="414"/>
      <c r="F91" s="284"/>
      <c r="G91" s="246"/>
      <c r="H91" s="246">
        <v>51.31</v>
      </c>
      <c r="I91" s="246"/>
      <c r="J91" s="246"/>
      <c r="K91" s="808"/>
      <c r="L91" s="237"/>
      <c r="M91" s="300"/>
      <c r="R91" s="214"/>
      <c r="S91" s="335"/>
      <c r="U91" s="215"/>
    </row>
    <row r="92" spans="2:21" ht="10.5" customHeight="1" thickBot="1">
      <c r="B92" s="271"/>
      <c r="C92" s="272"/>
      <c r="D92" s="416"/>
      <c r="E92" s="417"/>
      <c r="F92" s="418"/>
      <c r="G92" s="419"/>
      <c r="H92" s="419"/>
      <c r="I92" s="419"/>
      <c r="J92" s="419"/>
      <c r="K92" s="809"/>
      <c r="L92" s="419"/>
      <c r="M92" s="420"/>
      <c r="R92" s="214"/>
      <c r="S92" s="215"/>
      <c r="U92" s="215"/>
    </row>
    <row r="93" spans="2:21">
      <c r="B93" s="215"/>
      <c r="D93" s="214"/>
      <c r="G93" s="336">
        <f>SUM(G4:G92)</f>
        <v>153196.54</v>
      </c>
      <c r="H93" s="336">
        <f>SUM(H4:H92)</f>
        <v>222288.29</v>
      </c>
      <c r="I93" s="336"/>
      <c r="J93" s="336"/>
      <c r="K93" s="337"/>
      <c r="L93" s="182"/>
      <c r="R93" s="214"/>
      <c r="S93" s="215"/>
    </row>
    <row r="94" spans="2:21">
      <c r="D94" s="214"/>
      <c r="G94" s="183" t="e">
        <f>#REF!-G93</f>
        <v>#REF!</v>
      </c>
      <c r="L94" s="182"/>
      <c r="R94" s="214"/>
      <c r="S94" s="215"/>
    </row>
    <row r="95" spans="2:21">
      <c r="D95" s="214"/>
      <c r="L95" s="182"/>
      <c r="R95" s="214"/>
    </row>
    <row r="96" spans="2:21">
      <c r="E96" s="338"/>
      <c r="L96" s="182"/>
      <c r="R96" s="214"/>
    </row>
    <row r="97" spans="5:18">
      <c r="E97" s="214"/>
      <c r="L97" s="182"/>
      <c r="R97" s="214"/>
    </row>
    <row r="98" spans="5:18">
      <c r="E98" s="214"/>
      <c r="L98" s="182"/>
      <c r="R98" s="214"/>
    </row>
    <row r="99" spans="5:18">
      <c r="E99" s="214"/>
      <c r="L99" s="182"/>
      <c r="R99" s="214"/>
    </row>
    <row r="100" spans="5:18">
      <c r="E100" s="214"/>
      <c r="L100" s="182"/>
      <c r="R100" s="214"/>
    </row>
    <row r="101" spans="5:18">
      <c r="L101" s="182"/>
      <c r="R101" s="214"/>
    </row>
    <row r="102" spans="5:18">
      <c r="L102" s="182"/>
      <c r="R102" s="214"/>
    </row>
    <row r="103" spans="5:18">
      <c r="L103" s="182"/>
      <c r="R103" s="214"/>
    </row>
    <row r="104" spans="5:18">
      <c r="L104" s="182"/>
      <c r="R104" s="214"/>
    </row>
    <row r="105" spans="5:18">
      <c r="L105" s="182"/>
      <c r="R105" s="214"/>
    </row>
    <row r="106" spans="5:18">
      <c r="L106" s="182"/>
      <c r="R106" s="214"/>
    </row>
    <row r="107" spans="5:18">
      <c r="L107" s="182"/>
      <c r="R107" s="214"/>
    </row>
    <row r="108" spans="5:18">
      <c r="L108" s="182"/>
      <c r="R108" s="214"/>
    </row>
    <row r="109" spans="5:18">
      <c r="L109" s="182"/>
      <c r="R109" s="214"/>
    </row>
    <row r="110" spans="5:18">
      <c r="L110" s="182"/>
      <c r="R110" s="214"/>
    </row>
    <row r="111" spans="5:18">
      <c r="R111" s="214"/>
    </row>
    <row r="112" spans="5:18">
      <c r="R112" s="214"/>
    </row>
    <row r="113" spans="18:18">
      <c r="R113" s="214"/>
    </row>
    <row r="114" spans="18:18">
      <c r="R114" s="214"/>
    </row>
    <row r="115" spans="18:18">
      <c r="R115" s="214"/>
    </row>
    <row r="116" spans="18:18">
      <c r="R116" s="214"/>
    </row>
    <row r="117" spans="18:18">
      <c r="R117" s="214"/>
    </row>
    <row r="118" spans="18:18">
      <c r="R118" s="214"/>
    </row>
    <row r="119" spans="18:18">
      <c r="R119" s="214"/>
    </row>
    <row r="120" spans="18:18">
      <c r="R120" s="214"/>
    </row>
    <row r="121" spans="18:18">
      <c r="R121" s="214"/>
    </row>
    <row r="122" spans="18:18">
      <c r="R122" s="214"/>
    </row>
    <row r="123" spans="18:18">
      <c r="R123" s="214"/>
    </row>
    <row r="124" spans="18:18">
      <c r="R124" s="214"/>
    </row>
    <row r="125" spans="18:18">
      <c r="R125" s="214"/>
    </row>
    <row r="126" spans="18:18">
      <c r="R126" s="214"/>
    </row>
    <row r="127" spans="18:18">
      <c r="R127" s="214"/>
    </row>
    <row r="128" spans="18:18">
      <c r="R128" s="214"/>
    </row>
    <row r="129" spans="18:18">
      <c r="R129" s="214"/>
    </row>
    <row r="130" spans="18:18">
      <c r="R130" s="214"/>
    </row>
    <row r="131" spans="18:18">
      <c r="R131" s="214"/>
    </row>
    <row r="132" spans="18:18">
      <c r="R132" s="214"/>
    </row>
    <row r="133" spans="18:18">
      <c r="R133" s="214"/>
    </row>
    <row r="134" spans="18:18">
      <c r="R134" s="214"/>
    </row>
  </sheetData>
  <sheetProtection algorithmName="SHA-512" hashValue="EdT+KNS8yLyctIT24u07YHhiLdSQmqLx9oCPheaEjQYB4cIvxRD8UUKNBkQX+11J7LK3m6hMUoE2Wm4UdUTzrw==" saltValue="Rbhk5tgXVIcabITD5bDtQQ==" spinCount="100000" sheet="1" objects="1" scenarios="1"/>
  <mergeCells count="20">
    <mergeCell ref="E53:E58"/>
    <mergeCell ref="M82:M83"/>
    <mergeCell ref="K85:K92"/>
    <mergeCell ref="B69:B76"/>
    <mergeCell ref="E69:E76"/>
    <mergeCell ref="D69:D76"/>
    <mergeCell ref="F69:F76"/>
    <mergeCell ref="F46:F49"/>
    <mergeCell ref="Q2:R2"/>
    <mergeCell ref="L38:L39"/>
    <mergeCell ref="B7:B8"/>
    <mergeCell ref="D7:D8"/>
    <mergeCell ref="M7:M8"/>
    <mergeCell ref="M10:M11"/>
    <mergeCell ref="G12:G17"/>
    <mergeCell ref="E19:E23"/>
    <mergeCell ref="E24:E25"/>
    <mergeCell ref="C19:C25"/>
    <mergeCell ref="M12:M18"/>
    <mergeCell ref="H12:H18"/>
  </mergeCells>
  <printOptions horizontalCentered="1" verticalCentered="1"/>
  <pageMargins left="0" right="0" top="1.3779527559055118" bottom="1.1811023622047245" header="0.51181102362204722" footer="0.51181102362204722"/>
  <pageSetup paperSize="9" scale="58" fitToHeight="2" orientation="landscape" horizontalDpi="300" verticalDpi="300" r:id="rId1"/>
  <headerFooter alignWithMargins="0">
    <oddHeader>&amp;LAccounts for Audit y/e 31 March 2020&amp;CNassington Parish Council 
&amp;"Arial,Bold"ASSET REGISTER&amp;RPage &amp;P of &amp;N</oddHeader>
    <oddFooter>&amp;R&amp;F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9A2C-D8C4-4D83-A14E-A456598A6B3F}">
  <sheetPr>
    <tabColor theme="8" tint="-0.249977111117893"/>
    <pageSetUpPr fitToPage="1"/>
  </sheetPr>
  <dimension ref="A1:P211"/>
  <sheetViews>
    <sheetView showGridLines="0" showZeros="0" topLeftCell="B1" zoomScaleNormal="100" workbookViewId="0">
      <pane xSplit="2" ySplit="2" topLeftCell="D165" activePane="bottomRight" state="frozen"/>
      <selection activeCell="G37" sqref="G37"/>
      <selection pane="topRight" activeCell="G37" sqref="G37"/>
      <selection pane="bottomLeft" activeCell="G37" sqref="G37"/>
      <selection pane="bottomRight" activeCell="M208" sqref="M208"/>
    </sheetView>
  </sheetViews>
  <sheetFormatPr defaultColWidth="9.140625" defaultRowHeight="15"/>
  <cols>
    <col min="1" max="1" width="1" style="25" hidden="1" customWidth="1"/>
    <col min="2" max="2" width="4" style="127" bestFit="1" customWidth="1"/>
    <col min="3" max="3" width="13.85546875" style="610" bestFit="1" customWidth="1"/>
    <col min="4" max="4" width="20.85546875" style="25" customWidth="1"/>
    <col min="5" max="5" width="13.140625" style="358" customWidth="1"/>
    <col min="6" max="6" width="23.85546875" style="113" customWidth="1"/>
    <col min="7" max="7" width="8.5703125" style="359" customWidth="1"/>
    <col min="8" max="8" width="24.7109375" style="25" customWidth="1"/>
    <col min="9" max="9" width="13.7109375" style="109" customWidth="1"/>
    <col min="10" max="10" width="9.7109375" style="109" customWidth="1"/>
    <col min="11" max="11" width="9.85546875" style="25" hidden="1" customWidth="1"/>
    <col min="12" max="12" width="10.85546875" style="25" customWidth="1"/>
    <col min="13" max="13" width="10.5703125" style="109" customWidth="1"/>
    <col min="14" max="14" width="10.5703125" style="109" bestFit="1" customWidth="1"/>
    <col min="15" max="15" width="38" style="25" customWidth="1"/>
    <col min="16" max="16" width="9.140625" style="25"/>
    <col min="17" max="17" width="12" style="25" bestFit="1" customWidth="1"/>
    <col min="18" max="18" width="10.5703125" style="25" bestFit="1" customWidth="1"/>
    <col min="19" max="16384" width="9.140625" style="25"/>
  </cols>
  <sheetData>
    <row r="1" spans="2:15" ht="15.75" thickBot="1">
      <c r="D1" s="47"/>
    </row>
    <row r="2" spans="2:15" s="45" customFormat="1" ht="46.5" customHeight="1" thickTop="1">
      <c r="B2" s="128"/>
      <c r="C2" s="40" t="s">
        <v>6</v>
      </c>
      <c r="D2" s="39" t="s">
        <v>208</v>
      </c>
      <c r="E2" s="41" t="s">
        <v>325</v>
      </c>
      <c r="F2" s="40" t="s">
        <v>210</v>
      </c>
      <c r="G2" s="138" t="s">
        <v>40</v>
      </c>
      <c r="H2" s="42" t="s">
        <v>32</v>
      </c>
      <c r="I2" s="110" t="s">
        <v>53</v>
      </c>
      <c r="J2" s="110" t="s">
        <v>273</v>
      </c>
      <c r="K2" s="43" t="s">
        <v>54</v>
      </c>
      <c r="L2" s="43" t="s">
        <v>37</v>
      </c>
      <c r="M2" s="112" t="s">
        <v>55</v>
      </c>
      <c r="N2" s="112" t="s">
        <v>5</v>
      </c>
      <c r="O2" s="44" t="s">
        <v>253</v>
      </c>
    </row>
    <row r="3" spans="2:15" s="45" customFormat="1" ht="15" hidden="1" customHeight="1">
      <c r="B3" s="521">
        <v>1</v>
      </c>
      <c r="C3" s="680">
        <f t="shared" ref="C3:C12" si="0">SUM(M3:N3)</f>
        <v>155</v>
      </c>
      <c r="D3" s="519">
        <v>44655</v>
      </c>
      <c r="E3" s="31" t="s">
        <v>254</v>
      </c>
      <c r="F3" s="168" t="s">
        <v>456</v>
      </c>
      <c r="G3" s="520" t="s">
        <v>457</v>
      </c>
      <c r="H3" s="24" t="s">
        <v>458</v>
      </c>
      <c r="I3" s="587"/>
      <c r="J3" s="587">
        <v>155</v>
      </c>
      <c r="K3" s="587"/>
      <c r="L3" s="587"/>
      <c r="M3" s="588">
        <f t="shared" ref="M3:M66" si="1">SUM(I3:L3)</f>
        <v>155</v>
      </c>
      <c r="N3" s="587"/>
      <c r="O3" s="70" t="s">
        <v>268</v>
      </c>
    </row>
    <row r="4" spans="2:15" ht="15" hidden="1" customHeight="1">
      <c r="B4" s="522">
        <f>B3+1</f>
        <v>2</v>
      </c>
      <c r="C4" s="681">
        <f t="shared" si="0"/>
        <v>40</v>
      </c>
      <c r="D4" s="523">
        <v>44659</v>
      </c>
      <c r="E4" s="527" t="s">
        <v>254</v>
      </c>
      <c r="F4" s="577" t="s">
        <v>459</v>
      </c>
      <c r="G4" s="524" t="s">
        <v>457</v>
      </c>
      <c r="H4" s="525" t="s">
        <v>449</v>
      </c>
      <c r="I4" s="589">
        <v>40</v>
      </c>
      <c r="J4" s="589"/>
      <c r="K4" s="590"/>
      <c r="L4" s="590"/>
      <c r="M4" s="591">
        <f t="shared" si="1"/>
        <v>40</v>
      </c>
      <c r="N4" s="591"/>
      <c r="O4" s="105" t="s">
        <v>268</v>
      </c>
    </row>
    <row r="5" spans="2:15" ht="15" hidden="1" customHeight="1">
      <c r="B5" s="521">
        <f>B3+1</f>
        <v>2</v>
      </c>
      <c r="C5" s="680">
        <f t="shared" si="0"/>
        <v>1.99</v>
      </c>
      <c r="D5" s="519">
        <v>44662</v>
      </c>
      <c r="E5" s="31" t="s">
        <v>475</v>
      </c>
      <c r="F5" s="168" t="s">
        <v>460</v>
      </c>
      <c r="G5" s="520" t="s">
        <v>457</v>
      </c>
      <c r="H5" s="24" t="s">
        <v>256</v>
      </c>
      <c r="I5" s="587">
        <v>1.99</v>
      </c>
      <c r="J5" s="587"/>
      <c r="K5" s="587"/>
      <c r="L5" s="587"/>
      <c r="M5" s="588">
        <f t="shared" si="1"/>
        <v>1.99</v>
      </c>
      <c r="N5" s="587"/>
      <c r="O5" s="70" t="s">
        <v>307</v>
      </c>
    </row>
    <row r="6" spans="2:15" ht="15" hidden="1" customHeight="1">
      <c r="B6" s="522">
        <f t="shared" ref="B6:B15" si="2">B5+1</f>
        <v>3</v>
      </c>
      <c r="C6" s="681">
        <f t="shared" si="0"/>
        <v>21</v>
      </c>
      <c r="D6" s="523">
        <v>44670</v>
      </c>
      <c r="E6" s="552" t="s">
        <v>254</v>
      </c>
      <c r="F6" s="576" t="s">
        <v>461</v>
      </c>
      <c r="G6" s="524" t="s">
        <v>457</v>
      </c>
      <c r="H6" s="525" t="s">
        <v>462</v>
      </c>
      <c r="I6" s="589"/>
      <c r="J6" s="591">
        <v>21</v>
      </c>
      <c r="K6" s="589"/>
      <c r="L6" s="590"/>
      <c r="M6" s="591">
        <f t="shared" si="1"/>
        <v>21</v>
      </c>
      <c r="N6" s="590"/>
      <c r="O6" s="179" t="s">
        <v>268</v>
      </c>
    </row>
    <row r="7" spans="2:15" ht="15" hidden="1" customHeight="1">
      <c r="B7" s="521">
        <f t="shared" si="2"/>
        <v>4</v>
      </c>
      <c r="C7" s="680">
        <f t="shared" si="0"/>
        <v>114.69</v>
      </c>
      <c r="D7" s="519">
        <v>44763</v>
      </c>
      <c r="E7" s="31" t="s">
        <v>464</v>
      </c>
      <c r="F7" s="575" t="s">
        <v>465</v>
      </c>
      <c r="G7" s="520" t="s">
        <v>457</v>
      </c>
      <c r="H7" s="24" t="s">
        <v>466</v>
      </c>
      <c r="I7" s="587"/>
      <c r="J7" s="587">
        <v>109.24</v>
      </c>
      <c r="K7" s="587"/>
      <c r="L7" s="587"/>
      <c r="M7" s="588">
        <f t="shared" si="1"/>
        <v>109.24</v>
      </c>
      <c r="N7" s="587">
        <v>5.45</v>
      </c>
      <c r="O7" s="70" t="s">
        <v>310</v>
      </c>
    </row>
    <row r="8" spans="2:15" ht="15" hidden="1" customHeight="1">
      <c r="B8" s="177">
        <f t="shared" si="2"/>
        <v>5</v>
      </c>
      <c r="C8" s="681">
        <f t="shared" si="0"/>
        <v>1359.39</v>
      </c>
      <c r="D8" s="523">
        <v>44673</v>
      </c>
      <c r="E8" s="527" t="s">
        <v>469</v>
      </c>
      <c r="F8" s="139" t="s">
        <v>470</v>
      </c>
      <c r="G8" s="524" t="s">
        <v>457</v>
      </c>
      <c r="H8" s="525" t="s">
        <v>471</v>
      </c>
      <c r="I8" s="589"/>
      <c r="J8" s="589">
        <v>1359.39</v>
      </c>
      <c r="K8" s="590"/>
      <c r="L8" s="590"/>
      <c r="M8" s="591">
        <f t="shared" si="1"/>
        <v>1359.39</v>
      </c>
      <c r="N8" s="591"/>
      <c r="O8" s="105" t="s">
        <v>345</v>
      </c>
    </row>
    <row r="9" spans="2:15" ht="15" hidden="1" customHeight="1">
      <c r="B9" s="521">
        <f t="shared" si="2"/>
        <v>6</v>
      </c>
      <c r="C9" s="680">
        <f t="shared" si="0"/>
        <v>10000</v>
      </c>
      <c r="D9" s="519">
        <v>44673</v>
      </c>
      <c r="E9" s="31" t="s">
        <v>469</v>
      </c>
      <c r="F9" s="140" t="s">
        <v>472</v>
      </c>
      <c r="G9" s="520" t="s">
        <v>457</v>
      </c>
      <c r="H9" s="24" t="s">
        <v>473</v>
      </c>
      <c r="I9" s="593"/>
      <c r="J9" s="593">
        <v>10000</v>
      </c>
      <c r="K9" s="587"/>
      <c r="L9" s="587"/>
      <c r="M9" s="588">
        <f t="shared" si="1"/>
        <v>10000</v>
      </c>
      <c r="N9" s="588"/>
      <c r="O9" s="70" t="s">
        <v>474</v>
      </c>
    </row>
    <row r="10" spans="2:15" hidden="1">
      <c r="B10" s="522">
        <f t="shared" si="2"/>
        <v>7</v>
      </c>
      <c r="C10" s="681">
        <f t="shared" si="0"/>
        <v>590.16</v>
      </c>
      <c r="D10" s="523">
        <v>44673</v>
      </c>
      <c r="E10" s="527" t="s">
        <v>469</v>
      </c>
      <c r="F10" s="161" t="s">
        <v>476</v>
      </c>
      <c r="G10" s="524" t="s">
        <v>457</v>
      </c>
      <c r="H10" s="528" t="s">
        <v>477</v>
      </c>
      <c r="I10" s="590">
        <v>590.16</v>
      </c>
      <c r="J10" s="590"/>
      <c r="K10" s="590"/>
      <c r="L10" s="590"/>
      <c r="M10" s="591">
        <f t="shared" si="1"/>
        <v>590.16</v>
      </c>
      <c r="N10" s="590"/>
      <c r="O10" s="105" t="s">
        <v>306</v>
      </c>
    </row>
    <row r="11" spans="2:15" s="45" customFormat="1" ht="15.75" hidden="1" customHeight="1">
      <c r="B11" s="521">
        <f t="shared" si="2"/>
        <v>8</v>
      </c>
      <c r="C11" s="682">
        <f t="shared" si="0"/>
        <v>34.58</v>
      </c>
      <c r="D11" s="519">
        <v>44673</v>
      </c>
      <c r="E11" s="31" t="s">
        <v>469</v>
      </c>
      <c r="F11" s="578" t="s">
        <v>478</v>
      </c>
      <c r="G11" s="520" t="s">
        <v>457</v>
      </c>
      <c r="H11" s="24" t="s">
        <v>479</v>
      </c>
      <c r="I11" s="593"/>
      <c r="J11" s="594">
        <v>34.58</v>
      </c>
      <c r="K11" s="587"/>
      <c r="L11" s="587"/>
      <c r="M11" s="588">
        <f t="shared" si="1"/>
        <v>34.58</v>
      </c>
      <c r="N11" s="587"/>
      <c r="O11" s="70" t="s">
        <v>268</v>
      </c>
    </row>
    <row r="12" spans="2:15" hidden="1">
      <c r="B12" s="522">
        <f t="shared" si="2"/>
        <v>9</v>
      </c>
      <c r="C12" s="683">
        <f t="shared" si="0"/>
        <v>522</v>
      </c>
      <c r="D12" s="523">
        <v>44673</v>
      </c>
      <c r="E12" s="527" t="s">
        <v>469</v>
      </c>
      <c r="F12" s="579" t="s">
        <v>481</v>
      </c>
      <c r="G12" s="524" t="s">
        <v>457</v>
      </c>
      <c r="H12" s="528" t="s">
        <v>480</v>
      </c>
      <c r="I12" s="590"/>
      <c r="J12" s="590">
        <v>435</v>
      </c>
      <c r="K12" s="590"/>
      <c r="L12" s="590"/>
      <c r="M12" s="591">
        <f t="shared" si="1"/>
        <v>435</v>
      </c>
      <c r="N12" s="619">
        <f>M12*20%</f>
        <v>87</v>
      </c>
      <c r="O12" s="105" t="s">
        <v>323</v>
      </c>
    </row>
    <row r="13" spans="2:15" hidden="1">
      <c r="B13" s="521">
        <f t="shared" si="2"/>
        <v>10</v>
      </c>
      <c r="C13" s="684">
        <f>SUM(M13:N13)</f>
        <v>2491.34</v>
      </c>
      <c r="D13" s="519">
        <v>44673</v>
      </c>
      <c r="E13" s="31" t="s">
        <v>469</v>
      </c>
      <c r="F13" s="578" t="s">
        <v>482</v>
      </c>
      <c r="G13" s="520" t="s">
        <v>457</v>
      </c>
      <c r="H13" s="24" t="s">
        <v>483</v>
      </c>
      <c r="I13" s="587"/>
      <c r="J13" s="587">
        <v>2076.12</v>
      </c>
      <c r="K13" s="587"/>
      <c r="L13" s="587"/>
      <c r="M13" s="588">
        <f t="shared" si="1"/>
        <v>2076.12</v>
      </c>
      <c r="N13" s="620">
        <f>M13*20%</f>
        <v>415.22</v>
      </c>
      <c r="O13" s="70" t="s">
        <v>388</v>
      </c>
    </row>
    <row r="14" spans="2:15" ht="15" hidden="1" customHeight="1">
      <c r="B14" s="522">
        <f t="shared" si="2"/>
        <v>11</v>
      </c>
      <c r="C14" s="681">
        <f>SUM(M14:N14)</f>
        <v>650</v>
      </c>
      <c r="D14" s="523">
        <v>44673</v>
      </c>
      <c r="E14" s="527" t="s">
        <v>469</v>
      </c>
      <c r="F14" s="577" t="s">
        <v>484</v>
      </c>
      <c r="G14" s="524" t="s">
        <v>457</v>
      </c>
      <c r="H14" s="528" t="s">
        <v>485</v>
      </c>
      <c r="I14" s="589"/>
      <c r="J14" s="589">
        <v>650</v>
      </c>
      <c r="K14" s="590"/>
      <c r="L14" s="590"/>
      <c r="M14" s="591">
        <f t="shared" si="1"/>
        <v>650</v>
      </c>
      <c r="N14" s="619"/>
      <c r="O14" s="105" t="s">
        <v>673</v>
      </c>
    </row>
    <row r="15" spans="2:15" hidden="1">
      <c r="B15" s="128">
        <f t="shared" si="2"/>
        <v>12</v>
      </c>
      <c r="C15" s="684">
        <f>SUM(M15:N15)</f>
        <v>2200</v>
      </c>
      <c r="D15" s="519">
        <v>44673</v>
      </c>
      <c r="E15" s="31" t="s">
        <v>469</v>
      </c>
      <c r="F15" s="168" t="s">
        <v>487</v>
      </c>
      <c r="G15" s="520" t="s">
        <v>457</v>
      </c>
      <c r="H15" s="24" t="s">
        <v>486</v>
      </c>
      <c r="I15" s="587"/>
      <c r="J15" s="587">
        <v>2200</v>
      </c>
      <c r="K15" s="587"/>
      <c r="L15" s="587"/>
      <c r="M15" s="588">
        <f t="shared" si="1"/>
        <v>2200</v>
      </c>
      <c r="N15" s="620"/>
      <c r="O15" s="70" t="s">
        <v>313</v>
      </c>
    </row>
    <row r="16" spans="2:15" hidden="1">
      <c r="B16" s="177">
        <f>B15+1</f>
        <v>13</v>
      </c>
      <c r="C16" s="681">
        <f>SUM(M16:N16)</f>
        <v>3500</v>
      </c>
      <c r="D16" s="523">
        <v>44673</v>
      </c>
      <c r="E16" s="527" t="s">
        <v>469</v>
      </c>
      <c r="F16" s="161" t="s">
        <v>488</v>
      </c>
      <c r="G16" s="524" t="s">
        <v>457</v>
      </c>
      <c r="H16" s="360" t="s">
        <v>489</v>
      </c>
      <c r="I16" s="590"/>
      <c r="J16" s="590">
        <v>3500</v>
      </c>
      <c r="K16" s="590"/>
      <c r="L16" s="590"/>
      <c r="M16" s="591">
        <f t="shared" si="1"/>
        <v>3500</v>
      </c>
      <c r="N16" s="621"/>
      <c r="O16" s="105" t="s">
        <v>490</v>
      </c>
    </row>
    <row r="17" spans="2:16" hidden="1">
      <c r="B17" s="732">
        <f>B16+1</f>
        <v>14</v>
      </c>
      <c r="C17" s="682">
        <f>SUM(M17:N26)</f>
        <v>286.07</v>
      </c>
      <c r="D17" s="519">
        <v>44673</v>
      </c>
      <c r="E17" s="31"/>
      <c r="F17" s="575" t="s">
        <v>491</v>
      </c>
      <c r="G17" s="520" t="s">
        <v>457</v>
      </c>
      <c r="H17" s="678" t="s">
        <v>492</v>
      </c>
      <c r="I17" s="587"/>
      <c r="J17" s="587">
        <v>24.92</v>
      </c>
      <c r="K17" s="587"/>
      <c r="L17" s="587"/>
      <c r="M17" s="588">
        <f t="shared" si="1"/>
        <v>24.92</v>
      </c>
      <c r="N17" s="622">
        <v>4.9800000000000004</v>
      </c>
      <c r="O17" s="70" t="s">
        <v>268</v>
      </c>
      <c r="P17" s="83"/>
    </row>
    <row r="18" spans="2:16" hidden="1">
      <c r="B18" s="732"/>
      <c r="C18" s="682"/>
      <c r="D18" s="519"/>
      <c r="E18" s="31"/>
      <c r="F18" s="575" t="s">
        <v>493</v>
      </c>
      <c r="G18" s="520"/>
      <c r="H18" s="678"/>
      <c r="I18" s="587"/>
      <c r="J18" s="587">
        <v>28.84</v>
      </c>
      <c r="K18" s="587"/>
      <c r="L18" s="587"/>
      <c r="M18" s="588">
        <f t="shared" si="1"/>
        <v>28.84</v>
      </c>
      <c r="N18" s="622">
        <v>5.81</v>
      </c>
      <c r="O18" s="70" t="s">
        <v>268</v>
      </c>
      <c r="P18" s="83"/>
    </row>
    <row r="19" spans="2:16" hidden="1">
      <c r="B19" s="732"/>
      <c r="C19" s="682"/>
      <c r="D19" s="519"/>
      <c r="E19" s="31"/>
      <c r="F19" s="578" t="s">
        <v>494</v>
      </c>
      <c r="G19" s="520"/>
      <c r="H19" s="678"/>
      <c r="I19" s="587"/>
      <c r="J19" s="587">
        <v>28.26</v>
      </c>
      <c r="K19" s="587"/>
      <c r="L19" s="587"/>
      <c r="M19" s="588">
        <f t="shared" si="1"/>
        <v>28.26</v>
      </c>
      <c r="N19" s="622">
        <v>5.66</v>
      </c>
      <c r="O19" s="70" t="s">
        <v>268</v>
      </c>
    </row>
    <row r="20" spans="2:16" hidden="1">
      <c r="B20" s="732"/>
      <c r="C20" s="682"/>
      <c r="D20" s="519"/>
      <c r="E20" s="31"/>
      <c r="F20" s="575" t="s">
        <v>495</v>
      </c>
      <c r="G20" s="520"/>
      <c r="H20" s="678"/>
      <c r="I20" s="587"/>
      <c r="J20" s="587">
        <v>12.49</v>
      </c>
      <c r="K20" s="587"/>
      <c r="L20" s="587"/>
      <c r="M20" s="588">
        <f t="shared" si="1"/>
        <v>12.49</v>
      </c>
      <c r="N20" s="622">
        <v>2.5</v>
      </c>
      <c r="O20" s="70" t="s">
        <v>268</v>
      </c>
    </row>
    <row r="21" spans="2:16" hidden="1">
      <c r="B21" s="732"/>
      <c r="C21" s="682"/>
      <c r="D21" s="519"/>
      <c r="E21" s="31"/>
      <c r="F21" s="580" t="s">
        <v>496</v>
      </c>
      <c r="G21" s="520"/>
      <c r="H21" s="678"/>
      <c r="I21" s="587"/>
      <c r="J21" s="587">
        <v>25.86</v>
      </c>
      <c r="K21" s="587"/>
      <c r="L21" s="587"/>
      <c r="M21" s="588">
        <f t="shared" si="1"/>
        <v>25.86</v>
      </c>
      <c r="N21" s="622">
        <v>5.17</v>
      </c>
      <c r="O21" s="70" t="s">
        <v>268</v>
      </c>
    </row>
    <row r="22" spans="2:16" hidden="1">
      <c r="B22" s="732"/>
      <c r="C22" s="682"/>
      <c r="D22" s="519"/>
      <c r="E22" s="31"/>
      <c r="F22" s="580" t="s">
        <v>497</v>
      </c>
      <c r="G22" s="520"/>
      <c r="H22" s="678"/>
      <c r="I22" s="593"/>
      <c r="J22" s="593">
        <v>40</v>
      </c>
      <c r="K22" s="587"/>
      <c r="L22" s="587"/>
      <c r="M22" s="588">
        <f t="shared" si="1"/>
        <v>40</v>
      </c>
      <c r="N22" s="622">
        <v>8</v>
      </c>
      <c r="O22" s="70" t="s">
        <v>268</v>
      </c>
    </row>
    <row r="23" spans="2:16" hidden="1">
      <c r="B23" s="732"/>
      <c r="C23" s="682"/>
      <c r="D23" s="519"/>
      <c r="E23" s="31"/>
      <c r="F23" s="580" t="s">
        <v>498</v>
      </c>
      <c r="G23" s="520"/>
      <c r="H23" s="678"/>
      <c r="I23" s="593"/>
      <c r="J23" s="593">
        <v>29.16</v>
      </c>
      <c r="K23" s="587"/>
      <c r="L23" s="587"/>
      <c r="M23" s="588">
        <f t="shared" si="1"/>
        <v>29.16</v>
      </c>
      <c r="N23" s="622">
        <v>5.83</v>
      </c>
      <c r="O23" s="70" t="s">
        <v>268</v>
      </c>
    </row>
    <row r="24" spans="2:16" hidden="1">
      <c r="B24" s="732"/>
      <c r="C24" s="682"/>
      <c r="D24" s="519"/>
      <c r="E24" s="31"/>
      <c r="F24" s="580" t="s">
        <v>500</v>
      </c>
      <c r="G24" s="520"/>
      <c r="H24" s="678"/>
      <c r="I24" s="593"/>
      <c r="J24" s="593">
        <v>22.47</v>
      </c>
      <c r="K24" s="587"/>
      <c r="L24" s="587"/>
      <c r="M24" s="588">
        <f t="shared" si="1"/>
        <v>22.47</v>
      </c>
      <c r="N24" s="622">
        <v>4.5</v>
      </c>
      <c r="O24" s="70" t="s">
        <v>268</v>
      </c>
    </row>
    <row r="25" spans="2:16" hidden="1">
      <c r="B25" s="732"/>
      <c r="C25" s="682"/>
      <c r="D25" s="519"/>
      <c r="E25" s="31"/>
      <c r="F25" s="580" t="s">
        <v>499</v>
      </c>
      <c r="G25" s="520"/>
      <c r="H25" s="678"/>
      <c r="I25" s="593"/>
      <c r="J25" s="593">
        <v>16.36</v>
      </c>
      <c r="K25" s="587"/>
      <c r="L25" s="587"/>
      <c r="M25" s="588">
        <f t="shared" si="1"/>
        <v>16.36</v>
      </c>
      <c r="N25" s="622">
        <v>3.27</v>
      </c>
      <c r="O25" s="70" t="s">
        <v>268</v>
      </c>
    </row>
    <row r="26" spans="2:16" hidden="1">
      <c r="B26" s="732"/>
      <c r="C26" s="682"/>
      <c r="D26" s="519"/>
      <c r="E26" s="31"/>
      <c r="F26" s="578" t="s">
        <v>494</v>
      </c>
      <c r="G26" s="520"/>
      <c r="H26" s="678"/>
      <c r="I26" s="593"/>
      <c r="J26" s="593">
        <v>9.99</v>
      </c>
      <c r="K26" s="587"/>
      <c r="L26" s="587"/>
      <c r="M26" s="588">
        <f t="shared" si="1"/>
        <v>9.99</v>
      </c>
      <c r="N26" s="620">
        <v>2</v>
      </c>
      <c r="O26" s="70" t="s">
        <v>268</v>
      </c>
    </row>
    <row r="27" spans="2:16" s="45" customFormat="1" ht="15.75" hidden="1" customHeight="1">
      <c r="B27" s="177">
        <f>B17+1</f>
        <v>15</v>
      </c>
      <c r="C27" s="681">
        <f t="shared" ref="C27:C90" si="3">SUM(M27:N27)</f>
        <v>59.5</v>
      </c>
      <c r="D27" s="523">
        <v>44677</v>
      </c>
      <c r="E27" s="527" t="s">
        <v>254</v>
      </c>
      <c r="F27" s="579" t="s">
        <v>501</v>
      </c>
      <c r="G27" s="524" t="s">
        <v>457</v>
      </c>
      <c r="H27" s="525" t="s">
        <v>502</v>
      </c>
      <c r="I27" s="590"/>
      <c r="J27" s="590">
        <v>49.58</v>
      </c>
      <c r="K27" s="590"/>
      <c r="L27" s="590"/>
      <c r="M27" s="591">
        <f t="shared" si="1"/>
        <v>49.58</v>
      </c>
      <c r="N27" s="619">
        <f>M27*20%</f>
        <v>9.92</v>
      </c>
      <c r="O27" s="105" t="s">
        <v>268</v>
      </c>
    </row>
    <row r="28" spans="2:16" hidden="1">
      <c r="B28" s="521">
        <f t="shared" ref="B28:B32" si="4">B27+1</f>
        <v>16</v>
      </c>
      <c r="C28" s="680">
        <f t="shared" si="3"/>
        <v>96.9</v>
      </c>
      <c r="D28" s="519">
        <v>44677</v>
      </c>
      <c r="E28" s="31" t="s">
        <v>254</v>
      </c>
      <c r="F28" s="575" t="s">
        <v>503</v>
      </c>
      <c r="G28" s="520" t="s">
        <v>457</v>
      </c>
      <c r="H28" s="24" t="s">
        <v>504</v>
      </c>
      <c r="I28" s="595"/>
      <c r="J28" s="595">
        <v>96.9</v>
      </c>
      <c r="K28" s="596"/>
      <c r="L28" s="596"/>
      <c r="M28" s="597">
        <f t="shared" si="1"/>
        <v>96.9</v>
      </c>
      <c r="N28" s="623"/>
      <c r="O28" s="70" t="s">
        <v>268</v>
      </c>
    </row>
    <row r="29" spans="2:16" ht="15" hidden="1" customHeight="1">
      <c r="B29" s="522">
        <f>B28+1</f>
        <v>17</v>
      </c>
      <c r="C29" s="681">
        <f t="shared" si="3"/>
        <v>30.6</v>
      </c>
      <c r="D29" s="523">
        <v>44677</v>
      </c>
      <c r="E29" s="527" t="s">
        <v>254</v>
      </c>
      <c r="F29" s="577" t="s">
        <v>501</v>
      </c>
      <c r="G29" s="524" t="s">
        <v>457</v>
      </c>
      <c r="H29" s="525" t="s">
        <v>506</v>
      </c>
      <c r="I29" s="589"/>
      <c r="J29" s="589">
        <v>30.6</v>
      </c>
      <c r="K29" s="590"/>
      <c r="L29" s="590"/>
      <c r="M29" s="591">
        <f t="shared" si="1"/>
        <v>30.6</v>
      </c>
      <c r="N29" s="621"/>
      <c r="O29" s="105" t="s">
        <v>268</v>
      </c>
    </row>
    <row r="30" spans="2:16" ht="15" hidden="1" customHeight="1">
      <c r="B30" s="128">
        <f>B28+1</f>
        <v>17</v>
      </c>
      <c r="C30" s="684">
        <f t="shared" si="3"/>
        <v>590.52</v>
      </c>
      <c r="D30" s="519">
        <v>44684</v>
      </c>
      <c r="E30" s="31" t="s">
        <v>507</v>
      </c>
      <c r="F30" s="168" t="s">
        <v>508</v>
      </c>
      <c r="G30" s="520" t="s">
        <v>457</v>
      </c>
      <c r="H30" s="24" t="s">
        <v>509</v>
      </c>
      <c r="I30" s="587">
        <v>590.52</v>
      </c>
      <c r="J30" s="587"/>
      <c r="K30" s="587"/>
      <c r="L30" s="587"/>
      <c r="M30" s="588">
        <f t="shared" si="1"/>
        <v>590.52</v>
      </c>
      <c r="N30" s="620"/>
      <c r="O30" s="70" t="s">
        <v>306</v>
      </c>
    </row>
    <row r="31" spans="2:16" hidden="1">
      <c r="B31" s="177">
        <f t="shared" si="4"/>
        <v>18</v>
      </c>
      <c r="C31" s="681">
        <f t="shared" si="3"/>
        <v>6</v>
      </c>
      <c r="D31" s="523">
        <v>44685</v>
      </c>
      <c r="E31" s="527" t="s">
        <v>254</v>
      </c>
      <c r="F31" s="579" t="s">
        <v>510</v>
      </c>
      <c r="G31" s="524" t="s">
        <v>457</v>
      </c>
      <c r="H31" s="525" t="s">
        <v>511</v>
      </c>
      <c r="I31" s="590"/>
      <c r="J31" s="590">
        <v>6</v>
      </c>
      <c r="K31" s="590"/>
      <c r="L31" s="590"/>
      <c r="M31" s="591">
        <f t="shared" si="1"/>
        <v>6</v>
      </c>
      <c r="N31" s="619"/>
      <c r="O31" s="105" t="s">
        <v>323</v>
      </c>
    </row>
    <row r="32" spans="2:16" hidden="1">
      <c r="B32" s="521">
        <f t="shared" si="4"/>
        <v>19</v>
      </c>
      <c r="C32" s="680">
        <f t="shared" si="3"/>
        <v>37</v>
      </c>
      <c r="D32" s="519">
        <v>44685</v>
      </c>
      <c r="E32" s="31" t="s">
        <v>254</v>
      </c>
      <c r="F32" s="575" t="s">
        <v>503</v>
      </c>
      <c r="G32" s="520" t="s">
        <v>457</v>
      </c>
      <c r="H32" s="526" t="s">
        <v>512</v>
      </c>
      <c r="I32" s="587"/>
      <c r="J32" s="587">
        <v>37</v>
      </c>
      <c r="K32" s="587"/>
      <c r="L32" s="587"/>
      <c r="M32" s="588">
        <f t="shared" si="1"/>
        <v>37</v>
      </c>
      <c r="N32" s="620"/>
      <c r="O32" s="70" t="s">
        <v>268</v>
      </c>
    </row>
    <row r="33" spans="1:15" ht="15.75" hidden="1" customHeight="1">
      <c r="B33" s="522">
        <f>B32+1</f>
        <v>20</v>
      </c>
      <c r="C33" s="683">
        <f t="shared" si="3"/>
        <v>254.26</v>
      </c>
      <c r="D33" s="523">
        <v>44687</v>
      </c>
      <c r="E33" s="527" t="s">
        <v>254</v>
      </c>
      <c r="F33" s="577" t="s">
        <v>513</v>
      </c>
      <c r="G33" s="524" t="s">
        <v>457</v>
      </c>
      <c r="H33" s="581" t="s">
        <v>514</v>
      </c>
      <c r="I33" s="589"/>
      <c r="J33" s="589">
        <v>211.88</v>
      </c>
      <c r="K33" s="590"/>
      <c r="L33" s="590"/>
      <c r="M33" s="591">
        <f t="shared" si="1"/>
        <v>211.88</v>
      </c>
      <c r="N33" s="621">
        <f>M33*20%</f>
        <v>42.38</v>
      </c>
      <c r="O33" s="105" t="s">
        <v>268</v>
      </c>
    </row>
    <row r="34" spans="1:15" hidden="1">
      <c r="B34" s="521">
        <f>B33+1</f>
        <v>21</v>
      </c>
      <c r="C34" s="684">
        <f t="shared" si="3"/>
        <v>186.45</v>
      </c>
      <c r="D34" s="519">
        <v>44687</v>
      </c>
      <c r="E34" s="31" t="s">
        <v>254</v>
      </c>
      <c r="F34" s="575" t="s">
        <v>515</v>
      </c>
      <c r="G34" s="520" t="s">
        <v>457</v>
      </c>
      <c r="H34" s="526" t="s">
        <v>516</v>
      </c>
      <c r="I34" s="587"/>
      <c r="J34" s="587">
        <v>155.38</v>
      </c>
      <c r="K34" s="587"/>
      <c r="L34" s="587"/>
      <c r="M34" s="588">
        <f t="shared" si="1"/>
        <v>155.38</v>
      </c>
      <c r="N34" s="620">
        <v>31.07</v>
      </c>
      <c r="O34" s="70" t="s">
        <v>268</v>
      </c>
    </row>
    <row r="35" spans="1:15" hidden="1">
      <c r="B35" s="522">
        <f>B34+1</f>
        <v>22</v>
      </c>
      <c r="C35" s="681">
        <f t="shared" si="3"/>
        <v>339.99</v>
      </c>
      <c r="D35" s="523">
        <v>44687</v>
      </c>
      <c r="E35" s="527" t="s">
        <v>254</v>
      </c>
      <c r="F35" s="579" t="s">
        <v>517</v>
      </c>
      <c r="G35" s="524" t="s">
        <v>457</v>
      </c>
      <c r="H35" s="525" t="s">
        <v>518</v>
      </c>
      <c r="I35" s="590"/>
      <c r="J35" s="590">
        <v>283.33</v>
      </c>
      <c r="K35" s="590"/>
      <c r="L35" s="590"/>
      <c r="M35" s="591">
        <f t="shared" si="1"/>
        <v>283.33</v>
      </c>
      <c r="N35" s="619">
        <v>56.66</v>
      </c>
      <c r="O35" s="105" t="s">
        <v>345</v>
      </c>
    </row>
    <row r="36" spans="1:15" s="45" customFormat="1" hidden="1">
      <c r="B36" s="732">
        <f>B35+1</f>
        <v>23</v>
      </c>
      <c r="C36" s="682">
        <f>M36+M37+N36+N37</f>
        <v>103.44</v>
      </c>
      <c r="D36" s="519">
        <v>44691</v>
      </c>
      <c r="E36" s="574" t="s">
        <v>519</v>
      </c>
      <c r="F36" s="363" t="s">
        <v>520</v>
      </c>
      <c r="G36" s="520" t="s">
        <v>457</v>
      </c>
      <c r="H36" s="24" t="s">
        <v>648</v>
      </c>
      <c r="I36" s="593">
        <v>53.39</v>
      </c>
      <c r="J36" s="598"/>
      <c r="K36" s="593"/>
      <c r="L36" s="587"/>
      <c r="M36" s="588">
        <f t="shared" ref="M36:M37" si="5">SUM(I36:L36)</f>
        <v>53.39</v>
      </c>
      <c r="N36" s="620"/>
      <c r="O36" s="364" t="s">
        <v>306</v>
      </c>
    </row>
    <row r="37" spans="1:15" s="45" customFormat="1" hidden="1">
      <c r="B37" s="732"/>
      <c r="C37" s="682"/>
      <c r="D37" s="519"/>
      <c r="E37" s="574"/>
      <c r="F37" s="365" t="s">
        <v>520</v>
      </c>
      <c r="G37" s="520"/>
      <c r="H37" s="24"/>
      <c r="I37" s="593">
        <v>50.05</v>
      </c>
      <c r="J37" s="598"/>
      <c r="K37" s="593"/>
      <c r="L37" s="587"/>
      <c r="M37" s="588">
        <f t="shared" si="5"/>
        <v>50.05</v>
      </c>
      <c r="N37" s="620"/>
      <c r="O37" s="364" t="s">
        <v>521</v>
      </c>
    </row>
    <row r="38" spans="1:15" ht="14.25" hidden="1" customHeight="1">
      <c r="B38" s="522">
        <f>B36+1</f>
        <v>24</v>
      </c>
      <c r="C38" s="681">
        <f t="shared" ref="C38" si="6">SUM(M38:N38)</f>
        <v>1.99</v>
      </c>
      <c r="D38" s="523">
        <v>44662</v>
      </c>
      <c r="E38" s="527" t="s">
        <v>475</v>
      </c>
      <c r="F38" s="161" t="s">
        <v>460</v>
      </c>
      <c r="G38" s="524" t="s">
        <v>457</v>
      </c>
      <c r="H38" s="525" t="s">
        <v>256</v>
      </c>
      <c r="I38" s="590">
        <v>1.99</v>
      </c>
      <c r="J38" s="590"/>
      <c r="K38" s="590"/>
      <c r="L38" s="590"/>
      <c r="M38" s="591">
        <f t="shared" ref="M38" si="7">SUM(I38:L38)</f>
        <v>1.99</v>
      </c>
      <c r="N38" s="619"/>
      <c r="O38" s="105" t="s">
        <v>307</v>
      </c>
    </row>
    <row r="39" spans="1:15" hidden="1">
      <c r="B39" s="521">
        <f>+B38+1</f>
        <v>25</v>
      </c>
      <c r="C39" s="682">
        <f t="shared" si="3"/>
        <v>19.89</v>
      </c>
      <c r="D39" s="519">
        <v>44694</v>
      </c>
      <c r="E39" s="31" t="s">
        <v>254</v>
      </c>
      <c r="F39" s="578" t="s">
        <v>522</v>
      </c>
      <c r="G39" s="520" t="s">
        <v>457</v>
      </c>
      <c r="H39" s="24" t="s">
        <v>492</v>
      </c>
      <c r="I39" s="593"/>
      <c r="J39" s="593">
        <v>16.57</v>
      </c>
      <c r="K39" s="587"/>
      <c r="L39" s="587"/>
      <c r="M39" s="588">
        <f t="shared" si="1"/>
        <v>16.57</v>
      </c>
      <c r="N39" s="620">
        <v>3.32</v>
      </c>
      <c r="O39" s="70" t="s">
        <v>268</v>
      </c>
    </row>
    <row r="40" spans="1:15" s="45" customFormat="1" hidden="1">
      <c r="B40" s="177">
        <f t="shared" ref="B40:B64" si="8">B39+1</f>
        <v>26</v>
      </c>
      <c r="C40" s="681">
        <f t="shared" si="3"/>
        <v>24.99</v>
      </c>
      <c r="D40" s="523">
        <v>44694</v>
      </c>
      <c r="E40" s="527" t="s">
        <v>254</v>
      </c>
      <c r="F40" s="579" t="s">
        <v>523</v>
      </c>
      <c r="G40" s="524" t="s">
        <v>457</v>
      </c>
      <c r="H40" s="525" t="s">
        <v>492</v>
      </c>
      <c r="I40" s="599"/>
      <c r="J40" s="590">
        <v>20.82</v>
      </c>
      <c r="K40" s="590"/>
      <c r="L40" s="590"/>
      <c r="M40" s="591">
        <f t="shared" si="1"/>
        <v>20.82</v>
      </c>
      <c r="N40" s="619">
        <v>4.17</v>
      </c>
      <c r="O40" s="105" t="s">
        <v>268</v>
      </c>
    </row>
    <row r="41" spans="1:15" hidden="1">
      <c r="B41" s="521">
        <f t="shared" si="8"/>
        <v>27</v>
      </c>
      <c r="C41" s="682">
        <f t="shared" si="3"/>
        <v>11.99</v>
      </c>
      <c r="D41" s="519">
        <v>44696</v>
      </c>
      <c r="E41" s="31" t="s">
        <v>254</v>
      </c>
      <c r="F41" s="578" t="s">
        <v>524</v>
      </c>
      <c r="G41" s="520" t="s">
        <v>457</v>
      </c>
      <c r="H41" s="24" t="s">
        <v>492</v>
      </c>
      <c r="I41" s="593"/>
      <c r="J41" s="593">
        <v>9.99</v>
      </c>
      <c r="K41" s="587"/>
      <c r="L41" s="587"/>
      <c r="M41" s="588">
        <f t="shared" si="1"/>
        <v>9.99</v>
      </c>
      <c r="N41" s="622">
        <v>2</v>
      </c>
      <c r="O41" s="70" t="s">
        <v>268</v>
      </c>
    </row>
    <row r="42" spans="1:15" hidden="1">
      <c r="B42" s="177">
        <f>B41+1</f>
        <v>28</v>
      </c>
      <c r="C42" s="681">
        <f t="shared" si="3"/>
        <v>122.4</v>
      </c>
      <c r="D42" s="523">
        <v>44702</v>
      </c>
      <c r="E42" s="527" t="s">
        <v>254</v>
      </c>
      <c r="F42" s="161" t="s">
        <v>501</v>
      </c>
      <c r="G42" s="524" t="s">
        <v>457</v>
      </c>
      <c r="H42" s="525" t="s">
        <v>506</v>
      </c>
      <c r="I42" s="590"/>
      <c r="J42" s="590">
        <v>122.4</v>
      </c>
      <c r="K42" s="590"/>
      <c r="L42" s="590"/>
      <c r="M42" s="591">
        <f t="shared" si="1"/>
        <v>122.4</v>
      </c>
      <c r="N42" s="621"/>
      <c r="O42" s="105" t="s">
        <v>268</v>
      </c>
    </row>
    <row r="43" spans="1:15" s="45" customFormat="1" ht="15.75" hidden="1" customHeight="1">
      <c r="B43" s="128">
        <f t="shared" si="8"/>
        <v>29</v>
      </c>
      <c r="C43" s="682">
        <f t="shared" si="3"/>
        <v>9.36</v>
      </c>
      <c r="D43" s="519">
        <v>44702</v>
      </c>
      <c r="E43" s="31" t="s">
        <v>254</v>
      </c>
      <c r="F43" s="575" t="s">
        <v>525</v>
      </c>
      <c r="G43" s="520" t="s">
        <v>457</v>
      </c>
      <c r="H43" s="24" t="s">
        <v>525</v>
      </c>
      <c r="I43" s="587"/>
      <c r="J43" s="587">
        <v>7.8</v>
      </c>
      <c r="K43" s="587"/>
      <c r="L43" s="587"/>
      <c r="M43" s="588">
        <f t="shared" si="1"/>
        <v>7.8</v>
      </c>
      <c r="N43" s="620">
        <f>M43*20%</f>
        <v>1.56</v>
      </c>
      <c r="O43" s="70" t="s">
        <v>323</v>
      </c>
    </row>
    <row r="44" spans="1:15" s="45" customFormat="1" hidden="1">
      <c r="A44" s="524"/>
      <c r="B44" s="522">
        <f>B43+1</f>
        <v>30</v>
      </c>
      <c r="C44" s="683">
        <f t="shared" si="3"/>
        <v>118.17</v>
      </c>
      <c r="D44" s="523">
        <v>44704</v>
      </c>
      <c r="E44" s="552" t="s">
        <v>519</v>
      </c>
      <c r="F44" s="576" t="s">
        <v>465</v>
      </c>
      <c r="G44" s="524" t="s">
        <v>457</v>
      </c>
      <c r="H44" s="525" t="s">
        <v>466</v>
      </c>
      <c r="I44" s="589"/>
      <c r="J44" s="592">
        <v>112.55</v>
      </c>
      <c r="K44" s="589"/>
      <c r="L44" s="590"/>
      <c r="M44" s="591">
        <f t="shared" si="1"/>
        <v>112.55</v>
      </c>
      <c r="N44" s="619">
        <v>5.62</v>
      </c>
      <c r="O44" s="179" t="s">
        <v>310</v>
      </c>
    </row>
    <row r="45" spans="1:15" s="45" customFormat="1" ht="15.75" hidden="1" customHeight="1">
      <c r="B45" s="521">
        <f>B44+1</f>
        <v>31</v>
      </c>
      <c r="C45" s="682">
        <f t="shared" si="3"/>
        <v>13.35</v>
      </c>
      <c r="D45" s="519">
        <v>44704</v>
      </c>
      <c r="E45" s="31" t="s">
        <v>469</v>
      </c>
      <c r="F45" s="575" t="s">
        <v>526</v>
      </c>
      <c r="G45" s="520" t="s">
        <v>457</v>
      </c>
      <c r="H45" s="24" t="s">
        <v>492</v>
      </c>
      <c r="I45" s="595">
        <v>11.12</v>
      </c>
      <c r="J45" s="595"/>
      <c r="K45" s="596"/>
      <c r="L45" s="596"/>
      <c r="M45" s="588">
        <f t="shared" si="1"/>
        <v>11.12</v>
      </c>
      <c r="N45" s="623">
        <v>2.23</v>
      </c>
      <c r="O45" s="70" t="s">
        <v>307</v>
      </c>
    </row>
    <row r="46" spans="1:15" s="45" customFormat="1" hidden="1">
      <c r="B46" s="522">
        <f>B45+1</f>
        <v>32</v>
      </c>
      <c r="C46" s="681">
        <f t="shared" si="3"/>
        <v>17.989999999999998</v>
      </c>
      <c r="D46" s="523">
        <v>44704</v>
      </c>
      <c r="E46" s="527" t="s">
        <v>469</v>
      </c>
      <c r="F46" s="579" t="s">
        <v>495</v>
      </c>
      <c r="G46" s="524" t="s">
        <v>457</v>
      </c>
      <c r="H46" s="525" t="s">
        <v>492</v>
      </c>
      <c r="I46" s="599"/>
      <c r="J46" s="590">
        <v>14.99</v>
      </c>
      <c r="K46" s="590"/>
      <c r="L46" s="590"/>
      <c r="M46" s="591">
        <f t="shared" si="1"/>
        <v>14.99</v>
      </c>
      <c r="N46" s="619">
        <v>3</v>
      </c>
      <c r="O46" s="105" t="s">
        <v>268</v>
      </c>
    </row>
    <row r="47" spans="1:15" hidden="1">
      <c r="B47" s="521">
        <f>B46+1</f>
        <v>33</v>
      </c>
      <c r="C47" s="684">
        <f t="shared" si="3"/>
        <v>8.52</v>
      </c>
      <c r="D47" s="519">
        <v>44704</v>
      </c>
      <c r="E47" s="31" t="s">
        <v>469</v>
      </c>
      <c r="F47" s="582" t="s">
        <v>527</v>
      </c>
      <c r="G47" s="520" t="s">
        <v>457</v>
      </c>
      <c r="H47" s="24" t="s">
        <v>492</v>
      </c>
      <c r="I47" s="593"/>
      <c r="J47" s="593">
        <v>7.11</v>
      </c>
      <c r="K47" s="587"/>
      <c r="L47" s="587"/>
      <c r="M47" s="588">
        <f t="shared" si="1"/>
        <v>7.11</v>
      </c>
      <c r="N47" s="620">
        <v>1.41</v>
      </c>
      <c r="O47" s="70" t="s">
        <v>268</v>
      </c>
    </row>
    <row r="48" spans="1:15" s="45" customFormat="1" hidden="1">
      <c r="B48" s="522">
        <f>B47+1</f>
        <v>34</v>
      </c>
      <c r="C48" s="683">
        <f t="shared" si="3"/>
        <v>9.98</v>
      </c>
      <c r="D48" s="523">
        <v>44704</v>
      </c>
      <c r="E48" s="527" t="s">
        <v>469</v>
      </c>
      <c r="F48" s="576" t="s">
        <v>523</v>
      </c>
      <c r="G48" s="524" t="s">
        <v>457</v>
      </c>
      <c r="H48" s="525" t="s">
        <v>492</v>
      </c>
      <c r="I48" s="589"/>
      <c r="J48" s="592">
        <v>8.32</v>
      </c>
      <c r="K48" s="589"/>
      <c r="L48" s="590"/>
      <c r="M48" s="591">
        <f t="shared" si="1"/>
        <v>8.32</v>
      </c>
      <c r="N48" s="619">
        <v>1.66</v>
      </c>
      <c r="O48" s="105" t="s">
        <v>268</v>
      </c>
    </row>
    <row r="49" spans="2:15" s="45" customFormat="1" ht="15.75" hidden="1" customHeight="1">
      <c r="B49" s="521">
        <f>B47+1</f>
        <v>34</v>
      </c>
      <c r="C49" s="684">
        <f>SUM(M49:N49)</f>
        <v>5748</v>
      </c>
      <c r="D49" s="519">
        <v>44704</v>
      </c>
      <c r="E49" s="31" t="s">
        <v>469</v>
      </c>
      <c r="F49" s="575" t="s">
        <v>528</v>
      </c>
      <c r="G49" s="520" t="s">
        <v>457</v>
      </c>
      <c r="H49" s="24" t="s">
        <v>529</v>
      </c>
      <c r="I49" s="595"/>
      <c r="J49" s="595">
        <v>4790</v>
      </c>
      <c r="K49" s="596"/>
      <c r="L49" s="596"/>
      <c r="M49" s="588">
        <f t="shared" si="1"/>
        <v>4790</v>
      </c>
      <c r="N49" s="623">
        <f>M49*20%</f>
        <v>958</v>
      </c>
      <c r="O49" s="70" t="s">
        <v>312</v>
      </c>
    </row>
    <row r="50" spans="2:15" s="45" customFormat="1" ht="15.75" hidden="1" customHeight="1">
      <c r="B50" s="522">
        <f>B48+1</f>
        <v>35</v>
      </c>
      <c r="C50" s="683">
        <f t="shared" si="3"/>
        <v>470</v>
      </c>
      <c r="D50" s="523">
        <v>44704</v>
      </c>
      <c r="E50" s="527" t="s">
        <v>469</v>
      </c>
      <c r="F50" s="579" t="s">
        <v>531</v>
      </c>
      <c r="G50" s="524" t="s">
        <v>457</v>
      </c>
      <c r="H50" s="525" t="s">
        <v>530</v>
      </c>
      <c r="I50" s="600"/>
      <c r="J50" s="600">
        <v>470</v>
      </c>
      <c r="K50" s="601"/>
      <c r="L50" s="601"/>
      <c r="M50" s="591">
        <f t="shared" si="1"/>
        <v>470</v>
      </c>
      <c r="N50" s="624"/>
      <c r="O50" s="105" t="s">
        <v>321</v>
      </c>
    </row>
    <row r="51" spans="2:15" s="45" customFormat="1" ht="15.75" hidden="1" customHeight="1">
      <c r="B51" s="521">
        <f>B50+1</f>
        <v>36</v>
      </c>
      <c r="C51" s="684">
        <f t="shared" si="3"/>
        <v>35.96</v>
      </c>
      <c r="D51" s="519">
        <v>44705</v>
      </c>
      <c r="E51" s="31" t="s">
        <v>532</v>
      </c>
      <c r="F51" s="575" t="s">
        <v>533</v>
      </c>
      <c r="G51" s="520" t="s">
        <v>457</v>
      </c>
      <c r="H51" s="24" t="s">
        <v>492</v>
      </c>
      <c r="I51" s="595"/>
      <c r="J51" s="595">
        <f>7.49*4</f>
        <v>29.96</v>
      </c>
      <c r="K51" s="596"/>
      <c r="L51" s="596"/>
      <c r="M51" s="588">
        <f t="shared" si="1"/>
        <v>29.96</v>
      </c>
      <c r="N51" s="620">
        <v>6</v>
      </c>
      <c r="O51" s="70" t="s">
        <v>268</v>
      </c>
    </row>
    <row r="52" spans="2:15" s="45" customFormat="1" ht="15.75" hidden="1" customHeight="1">
      <c r="B52" s="522">
        <f t="shared" ref="B52:B56" si="9">B51+1</f>
        <v>37</v>
      </c>
      <c r="C52" s="683">
        <f t="shared" si="3"/>
        <v>119.64</v>
      </c>
      <c r="D52" s="523">
        <v>44705</v>
      </c>
      <c r="E52" s="527" t="s">
        <v>254</v>
      </c>
      <c r="F52" s="579" t="s">
        <v>534</v>
      </c>
      <c r="G52" s="524" t="s">
        <v>457</v>
      </c>
      <c r="H52" s="525" t="s">
        <v>492</v>
      </c>
      <c r="I52" s="600"/>
      <c r="J52" s="600">
        <v>99.69</v>
      </c>
      <c r="K52" s="601"/>
      <c r="L52" s="601"/>
      <c r="M52" s="591">
        <f t="shared" si="1"/>
        <v>99.69</v>
      </c>
      <c r="N52" s="624">
        <v>19.95</v>
      </c>
      <c r="O52" s="105" t="s">
        <v>345</v>
      </c>
    </row>
    <row r="53" spans="2:15" ht="15" hidden="1" customHeight="1">
      <c r="B53" s="521">
        <f t="shared" si="9"/>
        <v>38</v>
      </c>
      <c r="C53" s="684">
        <f t="shared" si="3"/>
        <v>279</v>
      </c>
      <c r="D53" s="519">
        <v>44705</v>
      </c>
      <c r="E53" s="31" t="s">
        <v>254</v>
      </c>
      <c r="F53" s="575" t="s">
        <v>535</v>
      </c>
      <c r="G53" s="520" t="s">
        <v>457</v>
      </c>
      <c r="H53" s="24" t="s">
        <v>536</v>
      </c>
      <c r="I53" s="587"/>
      <c r="J53" s="587">
        <v>232.5</v>
      </c>
      <c r="K53" s="587"/>
      <c r="L53" s="587"/>
      <c r="M53" s="588">
        <f t="shared" si="1"/>
        <v>232.5</v>
      </c>
      <c r="N53" s="620">
        <f>M53*20%</f>
        <v>46.5</v>
      </c>
      <c r="O53" s="70" t="s">
        <v>311</v>
      </c>
    </row>
    <row r="54" spans="2:15" hidden="1">
      <c r="B54" s="177">
        <f>B53+1</f>
        <v>39</v>
      </c>
      <c r="C54" s="681">
        <f t="shared" si="3"/>
        <v>319</v>
      </c>
      <c r="D54" s="523">
        <v>44705</v>
      </c>
      <c r="E54" s="527" t="s">
        <v>254</v>
      </c>
      <c r="F54" s="579" t="s">
        <v>537</v>
      </c>
      <c r="G54" s="524" t="s">
        <v>457</v>
      </c>
      <c r="H54" s="525" t="s">
        <v>536</v>
      </c>
      <c r="I54" s="599"/>
      <c r="J54" s="590">
        <v>265.83</v>
      </c>
      <c r="K54" s="590"/>
      <c r="L54" s="590"/>
      <c r="M54" s="591">
        <f t="shared" si="1"/>
        <v>265.83</v>
      </c>
      <c r="N54" s="619">
        <f>M54*20%</f>
        <v>53.17</v>
      </c>
      <c r="O54" s="105" t="s">
        <v>311</v>
      </c>
    </row>
    <row r="55" spans="2:15" hidden="1">
      <c r="B55" s="521">
        <f t="shared" si="9"/>
        <v>40</v>
      </c>
      <c r="C55" s="682">
        <f t="shared" si="3"/>
        <v>50.85</v>
      </c>
      <c r="D55" s="519">
        <v>44707</v>
      </c>
      <c r="E55" s="31" t="s">
        <v>254</v>
      </c>
      <c r="F55" s="575" t="s">
        <v>539</v>
      </c>
      <c r="G55" s="520" t="s">
        <v>457</v>
      </c>
      <c r="H55" s="24" t="s">
        <v>492</v>
      </c>
      <c r="I55" s="587"/>
      <c r="J55" s="587">
        <v>42.36</v>
      </c>
      <c r="K55" s="587"/>
      <c r="L55" s="587"/>
      <c r="M55" s="588">
        <f t="shared" si="1"/>
        <v>42.36</v>
      </c>
      <c r="N55" s="620">
        <v>8.49</v>
      </c>
      <c r="O55" s="70" t="s">
        <v>345</v>
      </c>
    </row>
    <row r="56" spans="2:15" hidden="1">
      <c r="B56" s="522">
        <f t="shared" si="9"/>
        <v>41</v>
      </c>
      <c r="C56" s="681">
        <f t="shared" si="3"/>
        <v>11.99</v>
      </c>
      <c r="D56" s="523">
        <v>44707</v>
      </c>
      <c r="E56" s="527" t="s">
        <v>254</v>
      </c>
      <c r="F56" s="579" t="s">
        <v>540</v>
      </c>
      <c r="G56" s="524" t="s">
        <v>457</v>
      </c>
      <c r="H56" s="525" t="s">
        <v>492</v>
      </c>
      <c r="I56" s="590"/>
      <c r="J56" s="590">
        <v>9.99</v>
      </c>
      <c r="K56" s="590"/>
      <c r="L56" s="590"/>
      <c r="M56" s="591">
        <f t="shared" si="1"/>
        <v>9.99</v>
      </c>
      <c r="N56" s="621">
        <v>2</v>
      </c>
      <c r="O56" s="105" t="s">
        <v>268</v>
      </c>
    </row>
    <row r="57" spans="2:15" hidden="1">
      <c r="B57" s="521">
        <f t="shared" si="8"/>
        <v>42</v>
      </c>
      <c r="C57" s="685">
        <f t="shared" si="3"/>
        <v>202.97</v>
      </c>
      <c r="D57" s="519">
        <v>44711</v>
      </c>
      <c r="E57" s="31" t="s">
        <v>254</v>
      </c>
      <c r="F57" s="578" t="s">
        <v>538</v>
      </c>
      <c r="G57" s="520" t="s">
        <v>457</v>
      </c>
      <c r="H57" s="24" t="s">
        <v>541</v>
      </c>
      <c r="I57" s="593"/>
      <c r="J57" s="587">
        <v>169.15</v>
      </c>
      <c r="K57" s="587"/>
      <c r="L57" s="587"/>
      <c r="M57" s="588">
        <f t="shared" si="1"/>
        <v>169.15</v>
      </c>
      <c r="N57" s="620">
        <v>33.82</v>
      </c>
      <c r="O57" s="70" t="s">
        <v>345</v>
      </c>
    </row>
    <row r="58" spans="2:15" s="45" customFormat="1" ht="15.75" hidden="1" customHeight="1">
      <c r="B58" s="177">
        <f t="shared" si="8"/>
        <v>43</v>
      </c>
      <c r="C58" s="681">
        <f t="shared" si="3"/>
        <v>612.54</v>
      </c>
      <c r="D58" s="523">
        <v>44712</v>
      </c>
      <c r="E58" s="527" t="s">
        <v>507</v>
      </c>
      <c r="F58" s="161" t="s">
        <v>508</v>
      </c>
      <c r="G58" s="524" t="s">
        <v>457</v>
      </c>
      <c r="H58" s="525" t="s">
        <v>509</v>
      </c>
      <c r="I58" s="590">
        <v>612.54</v>
      </c>
      <c r="J58" s="590"/>
      <c r="K58" s="590"/>
      <c r="L58" s="590"/>
      <c r="M58" s="591">
        <f t="shared" si="1"/>
        <v>612.54</v>
      </c>
      <c r="N58" s="619"/>
      <c r="O58" s="105" t="s">
        <v>306</v>
      </c>
    </row>
    <row r="59" spans="2:15" s="45" customFormat="1" hidden="1">
      <c r="B59" s="128">
        <f t="shared" si="8"/>
        <v>44</v>
      </c>
      <c r="C59" s="684">
        <f t="shared" si="3"/>
        <v>63</v>
      </c>
      <c r="D59" s="519">
        <v>44713</v>
      </c>
      <c r="E59" s="31" t="s">
        <v>254</v>
      </c>
      <c r="F59" s="168" t="s">
        <v>544</v>
      </c>
      <c r="G59" s="520" t="s">
        <v>457</v>
      </c>
      <c r="H59" s="24" t="s">
        <v>543</v>
      </c>
      <c r="I59" s="602"/>
      <c r="J59" s="588">
        <v>52.5</v>
      </c>
      <c r="K59" s="587"/>
      <c r="L59" s="587"/>
      <c r="M59" s="588">
        <f t="shared" si="1"/>
        <v>52.5</v>
      </c>
      <c r="N59" s="622">
        <f>M59*20%</f>
        <v>10.5</v>
      </c>
      <c r="O59" s="70" t="s">
        <v>268</v>
      </c>
    </row>
    <row r="60" spans="2:15" s="45" customFormat="1" ht="15.75" hidden="1" customHeight="1">
      <c r="B60" s="177">
        <f t="shared" si="8"/>
        <v>45</v>
      </c>
      <c r="C60" s="681">
        <f t="shared" si="3"/>
        <v>19.5</v>
      </c>
      <c r="D60" s="523">
        <v>44714</v>
      </c>
      <c r="E60" s="527" t="s">
        <v>254</v>
      </c>
      <c r="F60" s="161" t="s">
        <v>515</v>
      </c>
      <c r="G60" s="524" t="s">
        <v>457</v>
      </c>
      <c r="H60" s="525" t="s">
        <v>545</v>
      </c>
      <c r="I60" s="590"/>
      <c r="J60" s="591">
        <f>19.5/120%</f>
        <v>16.25</v>
      </c>
      <c r="K60" s="590"/>
      <c r="L60" s="590"/>
      <c r="M60" s="591">
        <f t="shared" si="1"/>
        <v>16.25</v>
      </c>
      <c r="N60" s="621">
        <v>3.25</v>
      </c>
      <c r="O60" s="105" t="s">
        <v>268</v>
      </c>
    </row>
    <row r="61" spans="2:15" s="45" customFormat="1" hidden="1">
      <c r="B61" s="521">
        <f>B60+1</f>
        <v>46</v>
      </c>
      <c r="C61" s="682">
        <f t="shared" si="3"/>
        <v>25.74</v>
      </c>
      <c r="D61" s="519">
        <v>44714</v>
      </c>
      <c r="E61" s="574" t="s">
        <v>254</v>
      </c>
      <c r="F61" s="363" t="s">
        <v>546</v>
      </c>
      <c r="G61" s="520" t="s">
        <v>457</v>
      </c>
      <c r="H61" s="24" t="s">
        <v>547</v>
      </c>
      <c r="I61" s="593"/>
      <c r="J61" s="598">
        <v>21.45</v>
      </c>
      <c r="K61" s="593"/>
      <c r="L61" s="587"/>
      <c r="M61" s="588">
        <f t="shared" si="1"/>
        <v>21.45</v>
      </c>
      <c r="N61" s="620">
        <f>M61*20%</f>
        <v>4.29</v>
      </c>
      <c r="O61" s="70" t="s">
        <v>268</v>
      </c>
    </row>
    <row r="62" spans="2:15" s="45" customFormat="1" hidden="1">
      <c r="B62" s="177">
        <f>B61+1</f>
        <v>47</v>
      </c>
      <c r="C62" s="681">
        <f t="shared" si="3"/>
        <v>38.25</v>
      </c>
      <c r="D62" s="523">
        <v>44714</v>
      </c>
      <c r="E62" s="527" t="s">
        <v>254</v>
      </c>
      <c r="F62" s="161" t="s">
        <v>548</v>
      </c>
      <c r="G62" s="524" t="s">
        <v>457</v>
      </c>
      <c r="H62" s="525" t="s">
        <v>516</v>
      </c>
      <c r="I62" s="599"/>
      <c r="J62" s="591">
        <v>31.88</v>
      </c>
      <c r="K62" s="590"/>
      <c r="L62" s="590"/>
      <c r="M62" s="591">
        <f t="shared" si="1"/>
        <v>31.88</v>
      </c>
      <c r="N62" s="621">
        <v>6.37</v>
      </c>
      <c r="O62" s="105" t="s">
        <v>268</v>
      </c>
    </row>
    <row r="63" spans="2:15" s="45" customFormat="1" hidden="1">
      <c r="B63" s="521">
        <f>B62+1</f>
        <v>48</v>
      </c>
      <c r="C63" s="684">
        <f>SUM(M63:N63)</f>
        <v>26</v>
      </c>
      <c r="D63" s="519">
        <v>44715</v>
      </c>
      <c r="E63" s="31" t="s">
        <v>254</v>
      </c>
      <c r="F63" s="168" t="s">
        <v>515</v>
      </c>
      <c r="G63" s="520" t="s">
        <v>457</v>
      </c>
      <c r="H63" s="24" t="s">
        <v>545</v>
      </c>
      <c r="I63" s="602"/>
      <c r="J63" s="587">
        <v>21.67</v>
      </c>
      <c r="K63" s="587"/>
      <c r="L63" s="587"/>
      <c r="M63" s="588">
        <v>21.67</v>
      </c>
      <c r="N63" s="620">
        <v>4.33</v>
      </c>
      <c r="O63" s="70" t="s">
        <v>268</v>
      </c>
    </row>
    <row r="64" spans="2:15" hidden="1">
      <c r="B64" s="522">
        <f t="shared" si="8"/>
        <v>49</v>
      </c>
      <c r="C64" s="681">
        <f t="shared" si="3"/>
        <v>15.94</v>
      </c>
      <c r="D64" s="523">
        <v>44718</v>
      </c>
      <c r="E64" s="527" t="s">
        <v>469</v>
      </c>
      <c r="F64" s="577" t="s">
        <v>549</v>
      </c>
      <c r="G64" s="524" t="s">
        <v>457</v>
      </c>
      <c r="H64" s="525" t="s">
        <v>492</v>
      </c>
      <c r="I64" s="589"/>
      <c r="J64" s="589">
        <v>13.28</v>
      </c>
      <c r="K64" s="590"/>
      <c r="L64" s="590"/>
      <c r="M64" s="591">
        <f t="shared" ref="M64:M65" si="10">SUM(I64:L64)</f>
        <v>13.28</v>
      </c>
      <c r="N64" s="621">
        <f>M64*20%</f>
        <v>2.66</v>
      </c>
      <c r="O64" s="105" t="s">
        <v>268</v>
      </c>
    </row>
    <row r="65" spans="2:15" hidden="1">
      <c r="B65" s="128">
        <f>B64+1</f>
        <v>50</v>
      </c>
      <c r="C65" s="684">
        <f t="shared" si="3"/>
        <v>3.99</v>
      </c>
      <c r="D65" s="519">
        <v>44718</v>
      </c>
      <c r="E65" s="31" t="s">
        <v>469</v>
      </c>
      <c r="F65" s="578" t="s">
        <v>527</v>
      </c>
      <c r="G65" s="520" t="s">
        <v>457</v>
      </c>
      <c r="H65" s="24" t="s">
        <v>492</v>
      </c>
      <c r="I65" s="603"/>
      <c r="J65" s="593">
        <v>3.32</v>
      </c>
      <c r="K65" s="587"/>
      <c r="L65" s="587"/>
      <c r="M65" s="588">
        <f t="shared" si="10"/>
        <v>3.32</v>
      </c>
      <c r="N65" s="622">
        <v>0.67</v>
      </c>
      <c r="O65" s="70" t="s">
        <v>268</v>
      </c>
    </row>
    <row r="66" spans="2:15" s="45" customFormat="1" hidden="1">
      <c r="B66" s="177">
        <f>B64+1</f>
        <v>50</v>
      </c>
      <c r="C66" s="681">
        <f t="shared" si="3"/>
        <v>750</v>
      </c>
      <c r="D66" s="523">
        <v>44718</v>
      </c>
      <c r="E66" s="527" t="s">
        <v>469</v>
      </c>
      <c r="F66" s="161" t="s">
        <v>550</v>
      </c>
      <c r="G66" s="524" t="s">
        <v>457</v>
      </c>
      <c r="H66" s="525" t="s">
        <v>551</v>
      </c>
      <c r="I66" s="599"/>
      <c r="J66" s="590">
        <v>750</v>
      </c>
      <c r="K66" s="590"/>
      <c r="L66" s="590"/>
      <c r="M66" s="591">
        <f t="shared" si="1"/>
        <v>750</v>
      </c>
      <c r="N66" s="619"/>
      <c r="O66" s="105" t="s">
        <v>268</v>
      </c>
    </row>
    <row r="67" spans="2:15" s="45" customFormat="1" hidden="1">
      <c r="B67" s="128">
        <f>B66+1</f>
        <v>51</v>
      </c>
      <c r="C67" s="684">
        <f t="shared" si="3"/>
        <v>11.99</v>
      </c>
      <c r="D67" s="519">
        <v>44718</v>
      </c>
      <c r="E67" s="31" t="s">
        <v>469</v>
      </c>
      <c r="F67" s="575" t="s">
        <v>552</v>
      </c>
      <c r="G67" s="520" t="s">
        <v>457</v>
      </c>
      <c r="H67" s="24" t="s">
        <v>492</v>
      </c>
      <c r="I67" s="602"/>
      <c r="J67" s="588">
        <v>9.99</v>
      </c>
      <c r="K67" s="587"/>
      <c r="L67" s="587"/>
      <c r="M67" s="588">
        <f t="shared" ref="M67:M128" si="11">SUM(I67:L67)</f>
        <v>9.99</v>
      </c>
      <c r="N67" s="622">
        <f>M67*20%</f>
        <v>2</v>
      </c>
      <c r="O67" s="70" t="s">
        <v>268</v>
      </c>
    </row>
    <row r="68" spans="2:15" hidden="1">
      <c r="B68" s="522">
        <f>B67+1</f>
        <v>52</v>
      </c>
      <c r="C68" s="681">
        <f t="shared" si="3"/>
        <v>113.95</v>
      </c>
      <c r="D68" s="523">
        <v>44719</v>
      </c>
      <c r="E68" s="527" t="s">
        <v>469</v>
      </c>
      <c r="F68" s="161" t="s">
        <v>553</v>
      </c>
      <c r="G68" s="524" t="s">
        <v>457</v>
      </c>
      <c r="H68" s="528" t="s">
        <v>554</v>
      </c>
      <c r="I68" s="590"/>
      <c r="J68" s="590">
        <v>113.95</v>
      </c>
      <c r="K68" s="590"/>
      <c r="L68" s="590"/>
      <c r="M68" s="591">
        <f t="shared" si="11"/>
        <v>113.95</v>
      </c>
      <c r="N68" s="619"/>
      <c r="O68" s="105" t="s">
        <v>319</v>
      </c>
    </row>
    <row r="69" spans="2:15" hidden="1">
      <c r="B69" s="732">
        <f>B68+1</f>
        <v>53</v>
      </c>
      <c r="C69" s="682">
        <f>M69+M70+N69+N70</f>
        <v>103.44</v>
      </c>
      <c r="D69" s="519">
        <v>44721</v>
      </c>
      <c r="E69" s="574" t="s">
        <v>519</v>
      </c>
      <c r="F69" s="363" t="s">
        <v>520</v>
      </c>
      <c r="G69" s="520" t="s">
        <v>457</v>
      </c>
      <c r="H69" s="24" t="s">
        <v>649</v>
      </c>
      <c r="I69" s="593">
        <v>53.39</v>
      </c>
      <c r="J69" s="598"/>
      <c r="K69" s="593"/>
      <c r="L69" s="587"/>
      <c r="M69" s="588">
        <f t="shared" ref="M69:M70" si="12">SUM(I69:L69)</f>
        <v>53.39</v>
      </c>
      <c r="N69" s="620"/>
      <c r="O69" s="364" t="s">
        <v>306</v>
      </c>
    </row>
    <row r="70" spans="2:15" hidden="1">
      <c r="B70" s="732"/>
      <c r="C70" s="682"/>
      <c r="D70" s="519"/>
      <c r="E70" s="574"/>
      <c r="F70" s="365" t="s">
        <v>520</v>
      </c>
      <c r="G70" s="520"/>
      <c r="H70" s="24"/>
      <c r="I70" s="593">
        <v>50.05</v>
      </c>
      <c r="J70" s="598"/>
      <c r="K70" s="593"/>
      <c r="L70" s="587"/>
      <c r="M70" s="588">
        <f t="shared" si="12"/>
        <v>50.05</v>
      </c>
      <c r="N70" s="620"/>
      <c r="O70" s="364" t="s">
        <v>521</v>
      </c>
    </row>
    <row r="71" spans="2:15" s="45" customFormat="1" hidden="1">
      <c r="B71" s="522">
        <f>B69+1</f>
        <v>54</v>
      </c>
      <c r="C71" s="683">
        <f t="shared" si="3"/>
        <v>240</v>
      </c>
      <c r="D71" s="523">
        <v>44722</v>
      </c>
      <c r="E71" s="527" t="s">
        <v>469</v>
      </c>
      <c r="F71" s="161" t="s">
        <v>555</v>
      </c>
      <c r="G71" s="524" t="s">
        <v>457</v>
      </c>
      <c r="H71" s="525" t="s">
        <v>556</v>
      </c>
      <c r="I71" s="590"/>
      <c r="J71" s="590">
        <v>240</v>
      </c>
      <c r="K71" s="590"/>
      <c r="L71" s="590"/>
      <c r="M71" s="591">
        <f t="shared" si="11"/>
        <v>240</v>
      </c>
      <c r="N71" s="619"/>
      <c r="O71" s="105" t="s">
        <v>268</v>
      </c>
    </row>
    <row r="72" spans="2:15" s="45" customFormat="1" hidden="1">
      <c r="B72" s="128">
        <f>B71+1</f>
        <v>55</v>
      </c>
      <c r="C72" s="684">
        <f t="shared" si="3"/>
        <v>15.98</v>
      </c>
      <c r="D72" s="519">
        <v>44722</v>
      </c>
      <c r="E72" s="31" t="s">
        <v>469</v>
      </c>
      <c r="F72" s="575" t="s">
        <v>557</v>
      </c>
      <c r="G72" s="520" t="s">
        <v>457</v>
      </c>
      <c r="H72" s="24" t="s">
        <v>492</v>
      </c>
      <c r="I72" s="602"/>
      <c r="J72" s="588">
        <v>13.32</v>
      </c>
      <c r="K72" s="587"/>
      <c r="L72" s="587"/>
      <c r="M72" s="588">
        <f t="shared" si="11"/>
        <v>13.32</v>
      </c>
      <c r="N72" s="622">
        <f>M72*20%</f>
        <v>2.66</v>
      </c>
      <c r="O72" s="70" t="s">
        <v>268</v>
      </c>
    </row>
    <row r="73" spans="2:15" s="45" customFormat="1" hidden="1">
      <c r="B73" s="729">
        <f>B72+1</f>
        <v>56</v>
      </c>
      <c r="C73" s="683">
        <f>SUM(M73:N74)</f>
        <v>4161</v>
      </c>
      <c r="D73" s="523">
        <v>44722</v>
      </c>
      <c r="E73" s="527" t="s">
        <v>469</v>
      </c>
      <c r="F73" s="585" t="s">
        <v>558</v>
      </c>
      <c r="G73" s="524" t="s">
        <v>457</v>
      </c>
      <c r="H73" s="525" t="s">
        <v>559</v>
      </c>
      <c r="I73" s="590"/>
      <c r="J73" s="590">
        <v>3300</v>
      </c>
      <c r="K73" s="590"/>
      <c r="L73" s="590"/>
      <c r="M73" s="591">
        <f t="shared" si="11"/>
        <v>3300</v>
      </c>
      <c r="N73" s="619">
        <v>693.5</v>
      </c>
      <c r="O73" s="105" t="s">
        <v>463</v>
      </c>
    </row>
    <row r="74" spans="2:15" s="45" customFormat="1" hidden="1">
      <c r="B74" s="729"/>
      <c r="C74" s="683"/>
      <c r="D74" s="523"/>
      <c r="E74" s="527"/>
      <c r="F74" s="585"/>
      <c r="G74" s="524"/>
      <c r="H74" s="525"/>
      <c r="I74" s="599"/>
      <c r="J74" s="590">
        <v>167.5</v>
      </c>
      <c r="K74" s="590"/>
      <c r="L74" s="590"/>
      <c r="M74" s="591">
        <f t="shared" si="11"/>
        <v>167.5</v>
      </c>
      <c r="N74" s="619"/>
      <c r="O74" s="105" t="s">
        <v>268</v>
      </c>
    </row>
    <row r="75" spans="2:15" s="45" customFormat="1" hidden="1">
      <c r="B75" s="128">
        <f>B73+1</f>
        <v>57</v>
      </c>
      <c r="C75" s="684">
        <f t="shared" si="3"/>
        <v>2.89</v>
      </c>
      <c r="D75" s="519">
        <v>44722</v>
      </c>
      <c r="E75" s="31" t="s">
        <v>469</v>
      </c>
      <c r="F75" s="575" t="s">
        <v>560</v>
      </c>
      <c r="G75" s="520" t="s">
        <v>457</v>
      </c>
      <c r="H75" s="24" t="s">
        <v>492</v>
      </c>
      <c r="I75" s="602"/>
      <c r="J75" s="588">
        <v>2.41</v>
      </c>
      <c r="K75" s="587"/>
      <c r="L75" s="587"/>
      <c r="M75" s="588">
        <f t="shared" si="11"/>
        <v>2.41</v>
      </c>
      <c r="N75" s="622">
        <f>M75*20%</f>
        <v>0.48</v>
      </c>
      <c r="O75" s="70" t="s">
        <v>345</v>
      </c>
    </row>
    <row r="76" spans="2:15" ht="15" hidden="1" customHeight="1">
      <c r="B76" s="522">
        <f>B75+1</f>
        <v>58</v>
      </c>
      <c r="C76" s="681">
        <f t="shared" si="3"/>
        <v>205.2</v>
      </c>
      <c r="D76" s="523">
        <v>44722</v>
      </c>
      <c r="E76" s="527" t="s">
        <v>469</v>
      </c>
      <c r="F76" s="579" t="s">
        <v>561</v>
      </c>
      <c r="G76" s="524" t="s">
        <v>457</v>
      </c>
      <c r="H76" s="525" t="s">
        <v>562</v>
      </c>
      <c r="I76" s="599"/>
      <c r="J76" s="590">
        <v>171</v>
      </c>
      <c r="K76" s="590"/>
      <c r="L76" s="590"/>
      <c r="M76" s="591">
        <f t="shared" si="11"/>
        <v>171</v>
      </c>
      <c r="N76" s="619">
        <f>M76*20%</f>
        <v>34.200000000000003</v>
      </c>
      <c r="O76" s="105" t="s">
        <v>268</v>
      </c>
    </row>
    <row r="77" spans="2:15" hidden="1">
      <c r="B77" s="521">
        <f>B76+1</f>
        <v>59</v>
      </c>
      <c r="C77" s="684">
        <f t="shared" si="3"/>
        <v>8.99</v>
      </c>
      <c r="D77" s="519">
        <v>44722</v>
      </c>
      <c r="E77" s="31" t="s">
        <v>469</v>
      </c>
      <c r="F77" s="575" t="s">
        <v>500</v>
      </c>
      <c r="G77" s="520" t="s">
        <v>457</v>
      </c>
      <c r="H77" s="24" t="s">
        <v>492</v>
      </c>
      <c r="I77" s="587"/>
      <c r="J77" s="587">
        <v>7.49</v>
      </c>
      <c r="K77" s="587"/>
      <c r="L77" s="587"/>
      <c r="M77" s="588">
        <f t="shared" si="11"/>
        <v>7.49</v>
      </c>
      <c r="N77" s="620">
        <v>1.5</v>
      </c>
      <c r="O77" s="70" t="s">
        <v>268</v>
      </c>
    </row>
    <row r="78" spans="2:15" hidden="1">
      <c r="B78" s="522">
        <f t="shared" ref="B78" si="13">B77+1</f>
        <v>60</v>
      </c>
      <c r="C78" s="681">
        <f t="shared" si="3"/>
        <v>39.979999999999997</v>
      </c>
      <c r="D78" s="523">
        <v>44722</v>
      </c>
      <c r="E78" s="527" t="s">
        <v>469</v>
      </c>
      <c r="F78" s="577" t="s">
        <v>563</v>
      </c>
      <c r="G78" s="524" t="s">
        <v>457</v>
      </c>
      <c r="H78" s="525" t="s">
        <v>564</v>
      </c>
      <c r="I78" s="589"/>
      <c r="J78" s="589">
        <v>33.32</v>
      </c>
      <c r="K78" s="590"/>
      <c r="L78" s="590"/>
      <c r="M78" s="591">
        <f t="shared" si="11"/>
        <v>33.32</v>
      </c>
      <c r="N78" s="621">
        <v>6.66</v>
      </c>
      <c r="O78" s="105" t="s">
        <v>268</v>
      </c>
    </row>
    <row r="79" spans="2:15" s="45" customFormat="1" ht="15.75" hidden="1" customHeight="1">
      <c r="B79" s="128">
        <f>B78+1</f>
        <v>61</v>
      </c>
      <c r="C79" s="684">
        <f t="shared" si="3"/>
        <v>720</v>
      </c>
      <c r="D79" s="519">
        <v>44722</v>
      </c>
      <c r="E79" s="31" t="s">
        <v>469</v>
      </c>
      <c r="F79" s="140" t="s">
        <v>565</v>
      </c>
      <c r="G79" s="520" t="s">
        <v>457</v>
      </c>
      <c r="H79" s="24" t="s">
        <v>530</v>
      </c>
      <c r="I79" s="587"/>
      <c r="J79" s="588">
        <v>720</v>
      </c>
      <c r="K79" s="587"/>
      <c r="L79" s="587"/>
      <c r="M79" s="588">
        <f t="shared" si="11"/>
        <v>720</v>
      </c>
      <c r="N79" s="622"/>
      <c r="O79" s="70" t="s">
        <v>321</v>
      </c>
    </row>
    <row r="80" spans="2:15" s="45" customFormat="1" ht="15.75" hidden="1" customHeight="1">
      <c r="B80" s="522">
        <f t="shared" ref="B80:B87" si="14">B79+1</f>
        <v>62</v>
      </c>
      <c r="C80" s="681">
        <f t="shared" si="3"/>
        <v>731.53</v>
      </c>
      <c r="D80" s="523">
        <v>44722</v>
      </c>
      <c r="E80" s="527" t="s">
        <v>469</v>
      </c>
      <c r="F80" s="579" t="s">
        <v>566</v>
      </c>
      <c r="G80" s="524" t="s">
        <v>457</v>
      </c>
      <c r="H80" s="525" t="s">
        <v>567</v>
      </c>
      <c r="I80" s="590">
        <v>731.53</v>
      </c>
      <c r="J80" s="590"/>
      <c r="K80" s="590"/>
      <c r="L80" s="590"/>
      <c r="M80" s="591">
        <f t="shared" si="11"/>
        <v>731.53</v>
      </c>
      <c r="N80" s="619"/>
      <c r="O80" s="105" t="s">
        <v>314</v>
      </c>
    </row>
    <row r="81" spans="2:15" ht="15" hidden="1" customHeight="1">
      <c r="B81" s="521">
        <f t="shared" si="14"/>
        <v>63</v>
      </c>
      <c r="C81" s="684">
        <f t="shared" si="3"/>
        <v>9.4700000000000006</v>
      </c>
      <c r="D81" s="519">
        <v>44722</v>
      </c>
      <c r="E81" s="31" t="s">
        <v>469</v>
      </c>
      <c r="F81" s="575" t="s">
        <v>568</v>
      </c>
      <c r="G81" s="520" t="s">
        <v>457</v>
      </c>
      <c r="H81" s="24" t="s">
        <v>492</v>
      </c>
      <c r="I81" s="602"/>
      <c r="J81" s="587">
        <v>7.89</v>
      </c>
      <c r="K81" s="587"/>
      <c r="L81" s="587"/>
      <c r="M81" s="588">
        <f t="shared" si="11"/>
        <v>7.89</v>
      </c>
      <c r="N81" s="620">
        <f>M81*20%</f>
        <v>1.58</v>
      </c>
      <c r="O81" s="70" t="s">
        <v>268</v>
      </c>
    </row>
    <row r="82" spans="2:15" hidden="1">
      <c r="B82" s="522">
        <f t="shared" si="14"/>
        <v>64</v>
      </c>
      <c r="C82" s="681">
        <f t="shared" si="3"/>
        <v>75</v>
      </c>
      <c r="D82" s="523">
        <v>44722</v>
      </c>
      <c r="E82" s="527" t="s">
        <v>469</v>
      </c>
      <c r="F82" s="178" t="s">
        <v>569</v>
      </c>
      <c r="G82" s="524" t="s">
        <v>457</v>
      </c>
      <c r="H82" s="525" t="s">
        <v>570</v>
      </c>
      <c r="I82" s="589"/>
      <c r="J82" s="592">
        <v>75</v>
      </c>
      <c r="K82" s="589"/>
      <c r="L82" s="590"/>
      <c r="M82" s="591">
        <f t="shared" si="11"/>
        <v>75</v>
      </c>
      <c r="N82" s="619"/>
      <c r="O82" s="179" t="s">
        <v>268</v>
      </c>
    </row>
    <row r="83" spans="2:15" s="45" customFormat="1" hidden="1">
      <c r="B83" s="732">
        <f t="shared" si="14"/>
        <v>65</v>
      </c>
      <c r="C83" s="682">
        <f>SUM(M83:N84)</f>
        <v>451.8</v>
      </c>
      <c r="D83" s="519">
        <v>44722</v>
      </c>
      <c r="E83" s="31" t="s">
        <v>469</v>
      </c>
      <c r="F83" s="575" t="s">
        <v>571</v>
      </c>
      <c r="G83" s="520" t="s">
        <v>457</v>
      </c>
      <c r="H83" s="24" t="s">
        <v>572</v>
      </c>
      <c r="I83" s="587"/>
      <c r="J83" s="587">
        <v>346.5</v>
      </c>
      <c r="K83" s="587"/>
      <c r="L83" s="587"/>
      <c r="M83" s="588">
        <f t="shared" si="11"/>
        <v>346.5</v>
      </c>
      <c r="N83" s="620">
        <f>M83*20%</f>
        <v>69.3</v>
      </c>
      <c r="O83" s="70" t="s">
        <v>268</v>
      </c>
    </row>
    <row r="84" spans="2:15" s="45" customFormat="1" hidden="1">
      <c r="B84" s="732"/>
      <c r="C84" s="682"/>
      <c r="D84" s="519"/>
      <c r="E84" s="31"/>
      <c r="F84" s="575" t="s">
        <v>573</v>
      </c>
      <c r="G84" s="520"/>
      <c r="H84" s="24"/>
      <c r="I84" s="587"/>
      <c r="J84" s="587">
        <v>30</v>
      </c>
      <c r="K84" s="587"/>
      <c r="L84" s="587"/>
      <c r="M84" s="588">
        <v>30</v>
      </c>
      <c r="N84" s="620">
        <f>M84*20%</f>
        <v>6</v>
      </c>
      <c r="O84" s="70" t="s">
        <v>268</v>
      </c>
    </row>
    <row r="85" spans="2:15" s="45" customFormat="1" hidden="1">
      <c r="B85" s="522">
        <f>B83+1</f>
        <v>66</v>
      </c>
      <c r="C85" s="686">
        <f t="shared" si="3"/>
        <v>57.46</v>
      </c>
      <c r="D85" s="523">
        <v>44722</v>
      </c>
      <c r="E85" s="527" t="s">
        <v>469</v>
      </c>
      <c r="F85" s="579" t="s">
        <v>574</v>
      </c>
      <c r="G85" s="524" t="s">
        <v>457</v>
      </c>
      <c r="H85" s="525" t="s">
        <v>575</v>
      </c>
      <c r="I85" s="590">
        <v>47.88</v>
      </c>
      <c r="J85" s="590"/>
      <c r="K85" s="590"/>
      <c r="L85" s="590"/>
      <c r="M85" s="591">
        <f t="shared" si="11"/>
        <v>47.88</v>
      </c>
      <c r="N85" s="619">
        <f>M85*20%</f>
        <v>9.58</v>
      </c>
      <c r="O85" s="105" t="s">
        <v>309</v>
      </c>
    </row>
    <row r="86" spans="2:15" s="45" customFormat="1" hidden="1">
      <c r="B86" s="128">
        <f t="shared" si="14"/>
        <v>67</v>
      </c>
      <c r="C86" s="687">
        <f t="shared" si="3"/>
        <v>400</v>
      </c>
      <c r="D86" s="519">
        <v>44722</v>
      </c>
      <c r="E86" s="31" t="s">
        <v>469</v>
      </c>
      <c r="F86" s="578" t="s">
        <v>576</v>
      </c>
      <c r="G86" s="520" t="s">
        <v>457</v>
      </c>
      <c r="H86" s="24" t="s">
        <v>577</v>
      </c>
      <c r="I86" s="593"/>
      <c r="J86" s="593">
        <v>400</v>
      </c>
      <c r="K86" s="587"/>
      <c r="L86" s="587"/>
      <c r="M86" s="588">
        <f t="shared" si="11"/>
        <v>400</v>
      </c>
      <c r="N86" s="620"/>
      <c r="O86" s="70" t="s">
        <v>268</v>
      </c>
    </row>
    <row r="87" spans="2:15" s="45" customFormat="1" hidden="1">
      <c r="B87" s="522">
        <f t="shared" si="14"/>
        <v>68</v>
      </c>
      <c r="C87" s="686">
        <f t="shared" si="3"/>
        <v>11.99</v>
      </c>
      <c r="D87" s="523">
        <v>44722</v>
      </c>
      <c r="E87" s="527" t="s">
        <v>469</v>
      </c>
      <c r="F87" s="579" t="s">
        <v>578</v>
      </c>
      <c r="G87" s="524" t="s">
        <v>457</v>
      </c>
      <c r="H87" s="525" t="s">
        <v>492</v>
      </c>
      <c r="I87" s="590"/>
      <c r="J87" s="590">
        <v>9.99</v>
      </c>
      <c r="K87" s="590"/>
      <c r="L87" s="590"/>
      <c r="M87" s="591">
        <f t="shared" si="11"/>
        <v>9.99</v>
      </c>
      <c r="N87" s="619">
        <f>M87*20%</f>
        <v>2</v>
      </c>
      <c r="O87" s="105" t="s">
        <v>345</v>
      </c>
    </row>
    <row r="88" spans="2:15" ht="14.25" hidden="1" customHeight="1">
      <c r="B88" s="521">
        <f>B86+1</f>
        <v>68</v>
      </c>
      <c r="C88" s="684">
        <f t="shared" si="3"/>
        <v>1.99</v>
      </c>
      <c r="D88" s="519">
        <v>44723</v>
      </c>
      <c r="E88" s="31" t="s">
        <v>475</v>
      </c>
      <c r="F88" s="168" t="s">
        <v>460</v>
      </c>
      <c r="G88" s="520" t="s">
        <v>457</v>
      </c>
      <c r="H88" s="24" t="s">
        <v>256</v>
      </c>
      <c r="I88" s="587">
        <v>1.99</v>
      </c>
      <c r="J88" s="587"/>
      <c r="K88" s="587"/>
      <c r="L88" s="587"/>
      <c r="M88" s="588">
        <f t="shared" si="11"/>
        <v>1.99</v>
      </c>
      <c r="N88" s="620"/>
      <c r="O88" s="70" t="s">
        <v>307</v>
      </c>
    </row>
    <row r="89" spans="2:15" s="45" customFormat="1" hidden="1">
      <c r="B89" s="522">
        <f>B87+1</f>
        <v>69</v>
      </c>
      <c r="C89" s="686">
        <f t="shared" si="3"/>
        <v>6.99</v>
      </c>
      <c r="D89" s="523">
        <v>44726</v>
      </c>
      <c r="E89" s="527" t="s">
        <v>469</v>
      </c>
      <c r="F89" s="584" t="s">
        <v>398</v>
      </c>
      <c r="G89" s="524" t="s">
        <v>457</v>
      </c>
      <c r="H89" s="525" t="s">
        <v>492</v>
      </c>
      <c r="I89" s="590">
        <v>5.82</v>
      </c>
      <c r="J89" s="590"/>
      <c r="K89" s="590"/>
      <c r="L89" s="590"/>
      <c r="M89" s="591">
        <f t="shared" si="11"/>
        <v>5.82</v>
      </c>
      <c r="N89" s="619">
        <v>1.17</v>
      </c>
      <c r="O89" s="105" t="s">
        <v>307</v>
      </c>
    </row>
    <row r="90" spans="2:15" hidden="1">
      <c r="B90" s="521">
        <f t="shared" ref="B90:B93" si="15">B89+1</f>
        <v>70</v>
      </c>
      <c r="C90" s="687">
        <f t="shared" si="3"/>
        <v>107.74</v>
      </c>
      <c r="D90" s="519">
        <v>44732</v>
      </c>
      <c r="E90" s="31" t="s">
        <v>519</v>
      </c>
      <c r="F90" s="578" t="s">
        <v>465</v>
      </c>
      <c r="G90" s="520" t="s">
        <v>457</v>
      </c>
      <c r="H90" s="24" t="s">
        <v>466</v>
      </c>
      <c r="I90" s="593"/>
      <c r="J90" s="593">
        <v>102.61</v>
      </c>
      <c r="K90" s="587"/>
      <c r="L90" s="587"/>
      <c r="M90" s="588">
        <f t="shared" si="11"/>
        <v>102.61</v>
      </c>
      <c r="N90" s="622">
        <v>5.13</v>
      </c>
      <c r="O90" s="70" t="s">
        <v>310</v>
      </c>
    </row>
    <row r="91" spans="2:15" s="45" customFormat="1" hidden="1">
      <c r="B91" s="177">
        <f>B90+1</f>
        <v>71</v>
      </c>
      <c r="C91" s="686">
        <f t="shared" ref="C91:C127" si="16">SUM(M91:N91)</f>
        <v>13.7</v>
      </c>
      <c r="D91" s="523">
        <v>44733</v>
      </c>
      <c r="E91" s="525" t="s">
        <v>254</v>
      </c>
      <c r="F91" s="579" t="s">
        <v>579</v>
      </c>
      <c r="G91" s="524" t="s">
        <v>457</v>
      </c>
      <c r="H91" s="525" t="s">
        <v>580</v>
      </c>
      <c r="I91" s="599"/>
      <c r="J91" s="590">
        <f>13.7/120%</f>
        <v>11.42</v>
      </c>
      <c r="K91" s="590"/>
      <c r="L91" s="590"/>
      <c r="M91" s="591">
        <f t="shared" si="11"/>
        <v>11.42</v>
      </c>
      <c r="N91" s="619">
        <f>M91*20%</f>
        <v>2.2799999999999998</v>
      </c>
      <c r="O91" s="105" t="s">
        <v>388</v>
      </c>
    </row>
    <row r="92" spans="2:15" s="45" customFormat="1" hidden="1">
      <c r="B92" s="521">
        <f t="shared" si="15"/>
        <v>72</v>
      </c>
      <c r="C92" s="687">
        <f t="shared" si="16"/>
        <v>612.54</v>
      </c>
      <c r="D92" s="519">
        <v>44742</v>
      </c>
      <c r="E92" s="31" t="s">
        <v>507</v>
      </c>
      <c r="F92" s="140" t="s">
        <v>508</v>
      </c>
      <c r="G92" s="520" t="s">
        <v>457</v>
      </c>
      <c r="H92" s="24" t="s">
        <v>509</v>
      </c>
      <c r="I92" s="593">
        <v>612.54</v>
      </c>
      <c r="J92" s="593"/>
      <c r="K92" s="587"/>
      <c r="L92" s="587"/>
      <c r="M92" s="588">
        <f t="shared" si="11"/>
        <v>612.54</v>
      </c>
      <c r="N92" s="620"/>
      <c r="O92" s="70" t="s">
        <v>306</v>
      </c>
    </row>
    <row r="93" spans="2:15" s="45" customFormat="1" hidden="1">
      <c r="B93" s="177">
        <f t="shared" si="15"/>
        <v>73</v>
      </c>
      <c r="C93" s="686">
        <f t="shared" si="16"/>
        <v>18</v>
      </c>
      <c r="D93" s="523">
        <v>44742</v>
      </c>
      <c r="E93" s="527" t="s">
        <v>475</v>
      </c>
      <c r="F93" s="139" t="s">
        <v>582</v>
      </c>
      <c r="G93" s="524" t="s">
        <v>457</v>
      </c>
      <c r="H93" s="525" t="s">
        <v>581</v>
      </c>
      <c r="I93" s="589">
        <v>18</v>
      </c>
      <c r="J93" s="589"/>
      <c r="K93" s="590"/>
      <c r="L93" s="590"/>
      <c r="M93" s="591">
        <f t="shared" si="11"/>
        <v>18</v>
      </c>
      <c r="N93" s="619"/>
      <c r="O93" s="105" t="s">
        <v>307</v>
      </c>
    </row>
    <row r="94" spans="2:15" hidden="1">
      <c r="B94" s="732">
        <f>B93+1</f>
        <v>74</v>
      </c>
      <c r="C94" s="682">
        <f>M94+M95+N94+N95</f>
        <v>103.44</v>
      </c>
      <c r="D94" s="519">
        <v>44750</v>
      </c>
      <c r="E94" s="574" t="s">
        <v>519</v>
      </c>
      <c r="F94" s="363" t="s">
        <v>520</v>
      </c>
      <c r="G94" s="520" t="s">
        <v>457</v>
      </c>
      <c r="H94" s="24" t="s">
        <v>650</v>
      </c>
      <c r="I94" s="593">
        <v>53.39</v>
      </c>
      <c r="J94" s="598"/>
      <c r="K94" s="593"/>
      <c r="L94" s="587"/>
      <c r="M94" s="588">
        <f t="shared" ref="M94:M95" si="17">SUM(I94:L94)</f>
        <v>53.39</v>
      </c>
      <c r="N94" s="620"/>
      <c r="O94" s="364" t="s">
        <v>306</v>
      </c>
    </row>
    <row r="95" spans="2:15" hidden="1">
      <c r="B95" s="732"/>
      <c r="C95" s="682"/>
      <c r="D95" s="519"/>
      <c r="E95" s="574"/>
      <c r="F95" s="365" t="s">
        <v>520</v>
      </c>
      <c r="G95" s="520"/>
      <c r="H95" s="24"/>
      <c r="I95" s="593">
        <v>50.05</v>
      </c>
      <c r="J95" s="598"/>
      <c r="K95" s="593"/>
      <c r="L95" s="587"/>
      <c r="M95" s="588">
        <f t="shared" si="17"/>
        <v>50.05</v>
      </c>
      <c r="N95" s="620"/>
      <c r="O95" s="364" t="s">
        <v>521</v>
      </c>
    </row>
    <row r="96" spans="2:15" ht="14.25" hidden="1" customHeight="1">
      <c r="B96" s="177">
        <f>B94+1</f>
        <v>75</v>
      </c>
      <c r="C96" s="686">
        <f t="shared" ref="C96:C101" si="18">SUM(M96:N96)</f>
        <v>111.21</v>
      </c>
      <c r="D96" s="523">
        <v>44762</v>
      </c>
      <c r="E96" s="527" t="s">
        <v>519</v>
      </c>
      <c r="F96" s="579" t="s">
        <v>465</v>
      </c>
      <c r="G96" s="524" t="s">
        <v>457</v>
      </c>
      <c r="H96" s="525" t="s">
        <v>466</v>
      </c>
      <c r="I96" s="590"/>
      <c r="J96" s="590">
        <v>105.92</v>
      </c>
      <c r="K96" s="590"/>
      <c r="L96" s="590"/>
      <c r="M96" s="591">
        <f t="shared" ref="M96:M99" si="19">SUM(I96:L96)</f>
        <v>105.92</v>
      </c>
      <c r="N96" s="619">
        <v>5.29</v>
      </c>
      <c r="O96" s="105" t="s">
        <v>310</v>
      </c>
    </row>
    <row r="97" spans="2:15" s="45" customFormat="1" hidden="1">
      <c r="B97" s="128">
        <f t="shared" ref="B97:B98" si="20">B96+1</f>
        <v>76</v>
      </c>
      <c r="C97" s="687">
        <f t="shared" si="18"/>
        <v>1.99</v>
      </c>
      <c r="D97" s="519">
        <v>44767</v>
      </c>
      <c r="E97" s="31" t="s">
        <v>475</v>
      </c>
      <c r="F97" s="140" t="s">
        <v>582</v>
      </c>
      <c r="G97" s="520" t="s">
        <v>457</v>
      </c>
      <c r="H97" s="24" t="s">
        <v>256</v>
      </c>
      <c r="I97" s="593">
        <v>1.99</v>
      </c>
      <c r="J97" s="593"/>
      <c r="K97" s="587"/>
      <c r="L97" s="587"/>
      <c r="M97" s="588">
        <f t="shared" si="19"/>
        <v>1.99</v>
      </c>
      <c r="N97" s="620"/>
      <c r="O97" s="70" t="s">
        <v>307</v>
      </c>
    </row>
    <row r="98" spans="2:15" s="45" customFormat="1" hidden="1">
      <c r="B98" s="177">
        <f t="shared" si="20"/>
        <v>77</v>
      </c>
      <c r="C98" s="686">
        <f t="shared" si="18"/>
        <v>10</v>
      </c>
      <c r="D98" s="523">
        <v>44767</v>
      </c>
      <c r="E98" s="527" t="s">
        <v>254</v>
      </c>
      <c r="F98" s="577" t="s">
        <v>619</v>
      </c>
      <c r="G98" s="524" t="s">
        <v>457</v>
      </c>
      <c r="H98" s="525" t="s">
        <v>256</v>
      </c>
      <c r="I98" s="589">
        <v>10</v>
      </c>
      <c r="J98" s="589"/>
      <c r="K98" s="590"/>
      <c r="L98" s="590"/>
      <c r="M98" s="591">
        <f t="shared" si="19"/>
        <v>10</v>
      </c>
      <c r="N98" s="619"/>
      <c r="O98" s="105" t="s">
        <v>309</v>
      </c>
    </row>
    <row r="99" spans="2:15" s="45" customFormat="1" hidden="1">
      <c r="B99" s="521">
        <f>B97+1</f>
        <v>77</v>
      </c>
      <c r="C99" s="687">
        <v>614.03</v>
      </c>
      <c r="D99" s="519">
        <v>44774</v>
      </c>
      <c r="E99" s="31" t="s">
        <v>507</v>
      </c>
      <c r="F99" s="140" t="s">
        <v>508</v>
      </c>
      <c r="G99" s="520" t="s">
        <v>457</v>
      </c>
      <c r="H99" s="24" t="s">
        <v>509</v>
      </c>
      <c r="I99" s="593">
        <v>614.03</v>
      </c>
      <c r="J99" s="593"/>
      <c r="K99" s="587"/>
      <c r="L99" s="587"/>
      <c r="M99" s="588">
        <f t="shared" si="19"/>
        <v>614.03</v>
      </c>
      <c r="N99" s="620"/>
      <c r="O99" s="70" t="s">
        <v>306</v>
      </c>
    </row>
    <row r="100" spans="2:15" s="45" customFormat="1" ht="15.75" hidden="1" customHeight="1">
      <c r="B100" s="522">
        <f t="shared" ref="B100:B101" si="21">B99+1</f>
        <v>78</v>
      </c>
      <c r="C100" s="686">
        <f t="shared" si="16"/>
        <v>539.28</v>
      </c>
      <c r="D100" s="523">
        <v>44774</v>
      </c>
      <c r="E100" s="527" t="s">
        <v>469</v>
      </c>
      <c r="F100" s="161" t="s">
        <v>476</v>
      </c>
      <c r="G100" s="524" t="s">
        <v>457</v>
      </c>
      <c r="H100" s="525" t="s">
        <v>477</v>
      </c>
      <c r="I100" s="590">
        <v>539.28</v>
      </c>
      <c r="J100" s="590"/>
      <c r="K100" s="590"/>
      <c r="L100" s="590"/>
      <c r="M100" s="591">
        <f t="shared" si="11"/>
        <v>539.28</v>
      </c>
      <c r="N100" s="619"/>
      <c r="O100" s="105" t="s">
        <v>306</v>
      </c>
    </row>
    <row r="101" spans="2:15" hidden="1">
      <c r="B101" s="521">
        <f t="shared" si="21"/>
        <v>79</v>
      </c>
      <c r="C101" s="687">
        <f t="shared" si="18"/>
        <v>156</v>
      </c>
      <c r="D101" s="519">
        <v>44774</v>
      </c>
      <c r="E101" s="31" t="s">
        <v>469</v>
      </c>
      <c r="F101" s="578" t="s">
        <v>583</v>
      </c>
      <c r="G101" s="520" t="s">
        <v>457</v>
      </c>
      <c r="H101" s="24" t="s">
        <v>584</v>
      </c>
      <c r="I101" s="593">
        <v>130</v>
      </c>
      <c r="J101" s="593"/>
      <c r="K101" s="587"/>
      <c r="L101" s="587"/>
      <c r="M101" s="588">
        <f t="shared" si="11"/>
        <v>130</v>
      </c>
      <c r="N101" s="622">
        <f>M101*20%</f>
        <v>26</v>
      </c>
      <c r="O101" s="70" t="s">
        <v>308</v>
      </c>
    </row>
    <row r="102" spans="2:15" s="45" customFormat="1" ht="15" hidden="1" customHeight="1">
      <c r="B102" s="729">
        <f>B100+1</f>
        <v>79</v>
      </c>
      <c r="C102" s="683">
        <f>M102+M103+N102+N103</f>
        <v>741.51</v>
      </c>
      <c r="D102" s="523">
        <v>44774</v>
      </c>
      <c r="E102" s="527" t="s">
        <v>469</v>
      </c>
      <c r="F102" s="577" t="s">
        <v>586</v>
      </c>
      <c r="G102" s="524" t="s">
        <v>457</v>
      </c>
      <c r="H102" s="525" t="s">
        <v>585</v>
      </c>
      <c r="I102" s="589">
        <v>397.51</v>
      </c>
      <c r="J102" s="589"/>
      <c r="K102" s="590"/>
      <c r="L102" s="590"/>
      <c r="M102" s="591">
        <f t="shared" si="11"/>
        <v>397.51</v>
      </c>
      <c r="N102" s="619">
        <v>59</v>
      </c>
      <c r="O102" s="105" t="s">
        <v>324</v>
      </c>
    </row>
    <row r="103" spans="2:15" s="45" customFormat="1" ht="15" hidden="1" customHeight="1">
      <c r="B103" s="729"/>
      <c r="C103" s="683"/>
      <c r="D103" s="523"/>
      <c r="E103" s="527"/>
      <c r="F103" s="577" t="s">
        <v>2</v>
      </c>
      <c r="G103" s="524"/>
      <c r="H103" s="525"/>
      <c r="I103" s="589">
        <v>285</v>
      </c>
      <c r="J103" s="589"/>
      <c r="K103" s="590"/>
      <c r="L103" s="590"/>
      <c r="M103" s="591">
        <f t="shared" si="11"/>
        <v>285</v>
      </c>
      <c r="N103" s="619"/>
      <c r="O103" s="105" t="s">
        <v>316</v>
      </c>
    </row>
    <row r="104" spans="2:15" s="45" customFormat="1" hidden="1">
      <c r="B104" s="128">
        <f>B102+1</f>
        <v>80</v>
      </c>
      <c r="C104" s="687">
        <f t="shared" ref="C104:C118" si="22">SUM(M104:N104)</f>
        <v>79.56</v>
      </c>
      <c r="D104" s="519">
        <v>44774</v>
      </c>
      <c r="E104" s="31" t="s">
        <v>469</v>
      </c>
      <c r="F104" s="578" t="s">
        <v>587</v>
      </c>
      <c r="G104" s="520" t="s">
        <v>457</v>
      </c>
      <c r="H104" s="24" t="s">
        <v>588</v>
      </c>
      <c r="I104" s="593">
        <v>79.56</v>
      </c>
      <c r="J104" s="593"/>
      <c r="K104" s="587"/>
      <c r="L104" s="587"/>
      <c r="M104" s="588">
        <f t="shared" si="11"/>
        <v>79.56</v>
      </c>
      <c r="N104" s="620"/>
      <c r="O104" s="70" t="s">
        <v>308</v>
      </c>
    </row>
    <row r="105" spans="2:15" s="45" customFormat="1" hidden="1">
      <c r="B105" s="177">
        <f t="shared" ref="B105:B110" si="23">B104+1</f>
        <v>81</v>
      </c>
      <c r="C105" s="686">
        <f t="shared" si="22"/>
        <v>200</v>
      </c>
      <c r="D105" s="523">
        <v>44774</v>
      </c>
      <c r="E105" s="527" t="s">
        <v>469</v>
      </c>
      <c r="F105" s="579" t="s">
        <v>589</v>
      </c>
      <c r="G105" s="524" t="s">
        <v>457</v>
      </c>
      <c r="H105" s="525" t="s">
        <v>590</v>
      </c>
      <c r="I105" s="590"/>
      <c r="J105" s="590">
        <v>200</v>
      </c>
      <c r="K105" s="590"/>
      <c r="L105" s="590"/>
      <c r="M105" s="591">
        <f t="shared" si="11"/>
        <v>200</v>
      </c>
      <c r="N105" s="619"/>
      <c r="O105" s="105" t="s">
        <v>345</v>
      </c>
    </row>
    <row r="106" spans="2:15" s="45" customFormat="1" hidden="1">
      <c r="B106" s="128">
        <f t="shared" si="23"/>
        <v>82</v>
      </c>
      <c r="C106" s="687">
        <f t="shared" si="22"/>
        <v>470</v>
      </c>
      <c r="D106" s="519">
        <v>44774</v>
      </c>
      <c r="E106" s="31" t="s">
        <v>469</v>
      </c>
      <c r="F106" s="578" t="s">
        <v>591</v>
      </c>
      <c r="G106" s="520" t="s">
        <v>457</v>
      </c>
      <c r="H106" s="24" t="s">
        <v>530</v>
      </c>
      <c r="I106" s="593"/>
      <c r="J106" s="593">
        <v>470</v>
      </c>
      <c r="K106" s="587"/>
      <c r="L106" s="587"/>
      <c r="M106" s="588">
        <f t="shared" si="11"/>
        <v>470</v>
      </c>
      <c r="N106" s="620"/>
      <c r="O106" s="70" t="s">
        <v>312</v>
      </c>
    </row>
    <row r="107" spans="2:15" s="45" customFormat="1" hidden="1">
      <c r="B107" s="177">
        <f t="shared" si="23"/>
        <v>83</v>
      </c>
      <c r="C107" s="686">
        <f t="shared" si="22"/>
        <v>28.12</v>
      </c>
      <c r="D107" s="523">
        <v>44774</v>
      </c>
      <c r="E107" s="527" t="s">
        <v>469</v>
      </c>
      <c r="F107" s="585" t="s">
        <v>592</v>
      </c>
      <c r="G107" s="524" t="s">
        <v>457</v>
      </c>
      <c r="H107" s="525" t="s">
        <v>593</v>
      </c>
      <c r="I107" s="590">
        <f>37.5-16.88</f>
        <v>20.62</v>
      </c>
      <c r="J107" s="590"/>
      <c r="K107" s="590"/>
      <c r="L107" s="590"/>
      <c r="M107" s="591">
        <f t="shared" si="11"/>
        <v>20.62</v>
      </c>
      <c r="N107" s="619">
        <v>7.5</v>
      </c>
      <c r="O107" s="105" t="s">
        <v>308</v>
      </c>
    </row>
    <row r="108" spans="2:15" hidden="1">
      <c r="B108" s="128">
        <f t="shared" si="23"/>
        <v>84</v>
      </c>
      <c r="C108" s="687">
        <f t="shared" si="22"/>
        <v>500</v>
      </c>
      <c r="D108" s="519">
        <v>44774</v>
      </c>
      <c r="E108" s="31" t="s">
        <v>469</v>
      </c>
      <c r="F108" s="573" t="s">
        <v>594</v>
      </c>
      <c r="G108" s="520" t="s">
        <v>457</v>
      </c>
      <c r="H108" s="24" t="s">
        <v>595</v>
      </c>
      <c r="I108" s="593">
        <v>500</v>
      </c>
      <c r="J108" s="593"/>
      <c r="K108" s="587"/>
      <c r="L108" s="587"/>
      <c r="M108" s="588">
        <f t="shared" si="11"/>
        <v>500</v>
      </c>
      <c r="N108" s="620"/>
      <c r="O108" s="70" t="s">
        <v>345</v>
      </c>
    </row>
    <row r="109" spans="2:15" s="45" customFormat="1" ht="15.75" hidden="1" customHeight="1">
      <c r="B109" s="177">
        <f t="shared" si="23"/>
        <v>85</v>
      </c>
      <c r="C109" s="686">
        <f t="shared" si="22"/>
        <v>456.32</v>
      </c>
      <c r="D109" s="523">
        <v>44778</v>
      </c>
      <c r="E109" s="527" t="s">
        <v>469</v>
      </c>
      <c r="F109" s="579" t="s">
        <v>597</v>
      </c>
      <c r="G109" s="524" t="s">
        <v>457</v>
      </c>
      <c r="H109" s="525" t="s">
        <v>598</v>
      </c>
      <c r="I109" s="590"/>
      <c r="J109" s="590">
        <v>413.6</v>
      </c>
      <c r="K109" s="590"/>
      <c r="L109" s="590"/>
      <c r="M109" s="591">
        <f t="shared" si="11"/>
        <v>413.6</v>
      </c>
      <c r="N109" s="619">
        <v>42.72</v>
      </c>
      <c r="O109" s="105" t="s">
        <v>312</v>
      </c>
    </row>
    <row r="110" spans="2:15" s="45" customFormat="1" ht="15.75" hidden="1" customHeight="1">
      <c r="B110" s="128">
        <f t="shared" si="23"/>
        <v>86</v>
      </c>
      <c r="C110" s="687">
        <f t="shared" ref="C110" si="24">SUM(M110:N110)</f>
        <v>5.38</v>
      </c>
      <c r="D110" s="519">
        <v>44778</v>
      </c>
      <c r="E110" s="31" t="s">
        <v>254</v>
      </c>
      <c r="F110" s="575" t="s">
        <v>621</v>
      </c>
      <c r="G110" s="520" t="s">
        <v>457</v>
      </c>
      <c r="H110" s="24" t="s">
        <v>622</v>
      </c>
      <c r="I110" s="587"/>
      <c r="J110" s="587">
        <v>5.38</v>
      </c>
      <c r="K110" s="587"/>
      <c r="L110" s="587"/>
      <c r="M110" s="588">
        <f t="shared" si="11"/>
        <v>5.38</v>
      </c>
      <c r="N110" s="620"/>
      <c r="O110" s="70" t="s">
        <v>317</v>
      </c>
    </row>
    <row r="111" spans="2:15" hidden="1">
      <c r="B111" s="729">
        <f>B109+1</f>
        <v>86</v>
      </c>
      <c r="C111" s="683">
        <f>M111+M112+N111+N112</f>
        <v>103.44</v>
      </c>
      <c r="D111" s="523">
        <v>44782</v>
      </c>
      <c r="E111" s="552" t="s">
        <v>519</v>
      </c>
      <c r="F111" s="178" t="s">
        <v>520</v>
      </c>
      <c r="G111" s="524" t="s">
        <v>457</v>
      </c>
      <c r="H111" s="525" t="s">
        <v>651</v>
      </c>
      <c r="I111" s="589">
        <v>53.39</v>
      </c>
      <c r="J111" s="592"/>
      <c r="K111" s="589"/>
      <c r="L111" s="590"/>
      <c r="M111" s="591">
        <f t="shared" ref="M111:M112" si="25">SUM(I111:L111)</f>
        <v>53.39</v>
      </c>
      <c r="N111" s="619"/>
      <c r="O111" s="179" t="s">
        <v>306</v>
      </c>
    </row>
    <row r="112" spans="2:15" hidden="1">
      <c r="B112" s="729"/>
      <c r="C112" s="683"/>
      <c r="D112" s="523"/>
      <c r="E112" s="552"/>
      <c r="F112" s="604" t="s">
        <v>520</v>
      </c>
      <c r="G112" s="524"/>
      <c r="H112" s="525"/>
      <c r="I112" s="589">
        <v>50.05</v>
      </c>
      <c r="J112" s="592"/>
      <c r="K112" s="589"/>
      <c r="L112" s="590"/>
      <c r="M112" s="591">
        <f t="shared" si="25"/>
        <v>50.05</v>
      </c>
      <c r="N112" s="619"/>
      <c r="O112" s="179" t="s">
        <v>521</v>
      </c>
    </row>
    <row r="113" spans="2:15" s="45" customFormat="1" hidden="1">
      <c r="B113" s="128">
        <f>B111+1</f>
        <v>87</v>
      </c>
      <c r="C113" s="687">
        <f t="shared" si="22"/>
        <v>-177.56</v>
      </c>
      <c r="D113" s="519">
        <v>44785</v>
      </c>
      <c r="E113" s="31" t="s">
        <v>599</v>
      </c>
      <c r="F113" s="168" t="s">
        <v>623</v>
      </c>
      <c r="G113" s="520" t="s">
        <v>457</v>
      </c>
      <c r="H113" s="24" t="s">
        <v>600</v>
      </c>
      <c r="I113" s="587"/>
      <c r="J113" s="609">
        <v>-177.56</v>
      </c>
      <c r="K113" s="587"/>
      <c r="L113" s="587"/>
      <c r="M113" s="609">
        <f t="shared" si="11"/>
        <v>-177.56</v>
      </c>
      <c r="N113" s="620"/>
      <c r="O113" s="70" t="s">
        <v>312</v>
      </c>
    </row>
    <row r="114" spans="2:15" s="45" customFormat="1" hidden="1">
      <c r="B114" s="177">
        <f>B113+1</f>
        <v>88</v>
      </c>
      <c r="C114" s="686">
        <f t="shared" si="22"/>
        <v>114.69</v>
      </c>
      <c r="D114" s="523">
        <v>44792</v>
      </c>
      <c r="E114" s="527" t="s">
        <v>519</v>
      </c>
      <c r="F114" s="577" t="s">
        <v>465</v>
      </c>
      <c r="G114" s="524" t="s">
        <v>457</v>
      </c>
      <c r="H114" s="525" t="s">
        <v>466</v>
      </c>
      <c r="I114" s="589"/>
      <c r="J114" s="589">
        <v>109.24</v>
      </c>
      <c r="K114" s="590"/>
      <c r="L114" s="590"/>
      <c r="M114" s="591">
        <f t="shared" si="11"/>
        <v>109.24</v>
      </c>
      <c r="N114" s="619">
        <v>5.45</v>
      </c>
      <c r="O114" s="105" t="s">
        <v>310</v>
      </c>
    </row>
    <row r="115" spans="2:15" s="45" customFormat="1" hidden="1">
      <c r="B115" s="128">
        <f>B114+1</f>
        <v>89</v>
      </c>
      <c r="C115" s="687">
        <f t="shared" si="22"/>
        <v>360</v>
      </c>
      <c r="D115" s="519">
        <v>44792</v>
      </c>
      <c r="E115" s="31" t="s">
        <v>469</v>
      </c>
      <c r="F115" s="575" t="s">
        <v>620</v>
      </c>
      <c r="G115" s="520" t="s">
        <v>457</v>
      </c>
      <c r="H115" s="24" t="s">
        <v>601</v>
      </c>
      <c r="I115" s="587">
        <v>300</v>
      </c>
      <c r="J115" s="587"/>
      <c r="K115" s="587"/>
      <c r="L115" s="587"/>
      <c r="M115" s="588">
        <f t="shared" si="11"/>
        <v>300</v>
      </c>
      <c r="N115" s="620">
        <f>M115*20%</f>
        <v>60</v>
      </c>
      <c r="O115" s="70" t="s">
        <v>316</v>
      </c>
    </row>
    <row r="116" spans="2:15" s="45" customFormat="1" hidden="1">
      <c r="B116" s="177">
        <f t="shared" ref="B116" si="26">B115+1</f>
        <v>90</v>
      </c>
      <c r="C116" s="686">
        <f t="shared" si="22"/>
        <v>360</v>
      </c>
      <c r="D116" s="523">
        <v>44792</v>
      </c>
      <c r="E116" s="527" t="s">
        <v>469</v>
      </c>
      <c r="F116" s="579" t="s">
        <v>591</v>
      </c>
      <c r="G116" s="524" t="s">
        <v>457</v>
      </c>
      <c r="H116" s="525" t="s">
        <v>530</v>
      </c>
      <c r="I116" s="589"/>
      <c r="J116" s="589">
        <v>360</v>
      </c>
      <c r="K116" s="590"/>
      <c r="L116" s="590"/>
      <c r="M116" s="591">
        <f t="shared" si="11"/>
        <v>360</v>
      </c>
      <c r="N116" s="619"/>
      <c r="O116" s="105" t="s">
        <v>312</v>
      </c>
    </row>
    <row r="117" spans="2:15" hidden="1">
      <c r="B117" s="128">
        <f>B116+1</f>
        <v>91</v>
      </c>
      <c r="C117" s="687">
        <f t="shared" si="22"/>
        <v>142.80000000000001</v>
      </c>
      <c r="D117" s="519">
        <v>44792</v>
      </c>
      <c r="E117" s="24" t="s">
        <v>469</v>
      </c>
      <c r="F117" s="168" t="s">
        <v>602</v>
      </c>
      <c r="G117" s="520" t="s">
        <v>457</v>
      </c>
      <c r="H117" s="24" t="s">
        <v>603</v>
      </c>
      <c r="I117" s="602"/>
      <c r="J117" s="587">
        <v>119</v>
      </c>
      <c r="K117" s="587"/>
      <c r="L117" s="587"/>
      <c r="M117" s="588">
        <f t="shared" si="11"/>
        <v>119</v>
      </c>
      <c r="N117" s="620">
        <f>M117*20%</f>
        <v>23.8</v>
      </c>
      <c r="O117" s="70" t="s">
        <v>311</v>
      </c>
    </row>
    <row r="118" spans="2:15" hidden="1">
      <c r="B118" s="177">
        <f t="shared" ref="B118" si="27">B117+1</f>
        <v>92</v>
      </c>
      <c r="C118" s="686">
        <f t="shared" si="22"/>
        <v>7800</v>
      </c>
      <c r="D118" s="523">
        <v>44792</v>
      </c>
      <c r="E118" s="527" t="s">
        <v>469</v>
      </c>
      <c r="F118" s="579" t="s">
        <v>604</v>
      </c>
      <c r="G118" s="524" t="s">
        <v>457</v>
      </c>
      <c r="H118" s="525" t="s">
        <v>605</v>
      </c>
      <c r="I118" s="590"/>
      <c r="J118" s="590">
        <v>6500</v>
      </c>
      <c r="K118" s="590"/>
      <c r="L118" s="590"/>
      <c r="M118" s="591">
        <f t="shared" si="11"/>
        <v>6500</v>
      </c>
      <c r="N118" s="619">
        <f>M118*20%</f>
        <v>1300</v>
      </c>
      <c r="O118" s="105" t="s">
        <v>311</v>
      </c>
    </row>
    <row r="119" spans="2:15" hidden="1">
      <c r="B119" s="732">
        <f>B118+1</f>
        <v>93</v>
      </c>
      <c r="C119" s="682">
        <f>M119+M120+N119+N120</f>
        <v>185</v>
      </c>
      <c r="D119" s="519">
        <v>44792</v>
      </c>
      <c r="E119" s="31" t="s">
        <v>469</v>
      </c>
      <c r="F119" s="578" t="s">
        <v>606</v>
      </c>
      <c r="G119" s="520" t="s">
        <v>457</v>
      </c>
      <c r="H119" s="24" t="s">
        <v>492</v>
      </c>
      <c r="I119" s="593"/>
      <c r="J119" s="593">
        <v>72.489999999999995</v>
      </c>
      <c r="K119" s="587"/>
      <c r="L119" s="587"/>
      <c r="M119" s="588">
        <f t="shared" si="11"/>
        <v>72.489999999999995</v>
      </c>
      <c r="N119" s="620">
        <f>M119*20%</f>
        <v>14.5</v>
      </c>
      <c r="O119" s="70" t="s">
        <v>311</v>
      </c>
    </row>
    <row r="120" spans="2:15" s="45" customFormat="1" hidden="1">
      <c r="B120" s="732"/>
      <c r="C120" s="682"/>
      <c r="D120" s="519"/>
      <c r="E120" s="31"/>
      <c r="F120" s="578" t="s">
        <v>607</v>
      </c>
      <c r="G120" s="520"/>
      <c r="H120" s="24"/>
      <c r="I120" s="593"/>
      <c r="J120" s="593">
        <v>81.67</v>
      </c>
      <c r="K120" s="587"/>
      <c r="L120" s="587"/>
      <c r="M120" s="588">
        <f t="shared" si="11"/>
        <v>81.67</v>
      </c>
      <c r="N120" s="620">
        <v>16.34</v>
      </c>
      <c r="O120" s="70" t="s">
        <v>311</v>
      </c>
    </row>
    <row r="121" spans="2:15" s="45" customFormat="1" hidden="1">
      <c r="B121" s="177">
        <f>B119+1</f>
        <v>94</v>
      </c>
      <c r="C121" s="686">
        <v>614.03</v>
      </c>
      <c r="D121" s="523">
        <v>44804</v>
      </c>
      <c r="E121" s="527" t="s">
        <v>507</v>
      </c>
      <c r="F121" s="139" t="s">
        <v>508</v>
      </c>
      <c r="G121" s="524" t="s">
        <v>457</v>
      </c>
      <c r="H121" s="525" t="s">
        <v>509</v>
      </c>
      <c r="I121" s="589">
        <v>614.03</v>
      </c>
      <c r="J121" s="589"/>
      <c r="K121" s="590"/>
      <c r="L121" s="590"/>
      <c r="M121" s="591">
        <f t="shared" si="11"/>
        <v>614.03</v>
      </c>
      <c r="N121" s="619"/>
      <c r="O121" s="105" t="s">
        <v>306</v>
      </c>
    </row>
    <row r="122" spans="2:15" hidden="1">
      <c r="B122" s="732">
        <f>B121+1</f>
        <v>95</v>
      </c>
      <c r="C122" s="682">
        <f>M122+M123+N122+N123</f>
        <v>103.44</v>
      </c>
      <c r="D122" s="519">
        <v>44813</v>
      </c>
      <c r="E122" s="574" t="s">
        <v>519</v>
      </c>
      <c r="F122" s="363" t="s">
        <v>520</v>
      </c>
      <c r="G122" s="520" t="s">
        <v>457</v>
      </c>
      <c r="H122" s="24" t="s">
        <v>652</v>
      </c>
      <c r="I122" s="593">
        <v>53.39</v>
      </c>
      <c r="J122" s="598"/>
      <c r="K122" s="593"/>
      <c r="L122" s="587"/>
      <c r="M122" s="588">
        <f t="shared" ref="M122:M123" si="28">SUM(I122:L122)</f>
        <v>53.39</v>
      </c>
      <c r="N122" s="620"/>
      <c r="O122" s="364" t="s">
        <v>306</v>
      </c>
    </row>
    <row r="123" spans="2:15" hidden="1">
      <c r="B123" s="732"/>
      <c r="C123" s="682"/>
      <c r="D123" s="519"/>
      <c r="E123" s="574"/>
      <c r="F123" s="365" t="s">
        <v>520</v>
      </c>
      <c r="G123" s="520"/>
      <c r="H123" s="24"/>
      <c r="I123" s="593">
        <v>50.05</v>
      </c>
      <c r="J123" s="598"/>
      <c r="K123" s="593"/>
      <c r="L123" s="587"/>
      <c r="M123" s="588">
        <f t="shared" si="28"/>
        <v>50.05</v>
      </c>
      <c r="N123" s="620"/>
      <c r="O123" s="364" t="s">
        <v>521</v>
      </c>
    </row>
    <row r="124" spans="2:15" s="45" customFormat="1" hidden="1">
      <c r="B124" s="177">
        <f>B122+1</f>
        <v>96</v>
      </c>
      <c r="C124" s="686">
        <f t="shared" ref="C124:C128" si="29">SUM(M124:N124)</f>
        <v>0.96</v>
      </c>
      <c r="D124" s="523">
        <v>44815</v>
      </c>
      <c r="E124" s="527" t="s">
        <v>475</v>
      </c>
      <c r="F124" s="139" t="s">
        <v>582</v>
      </c>
      <c r="G124" s="524" t="s">
        <v>457</v>
      </c>
      <c r="H124" s="525" t="s">
        <v>256</v>
      </c>
      <c r="I124" s="589">
        <v>0.96</v>
      </c>
      <c r="J124" s="589"/>
      <c r="K124" s="590"/>
      <c r="L124" s="590"/>
      <c r="M124" s="591">
        <f t="shared" ref="M124:M126" si="30">SUM(I124:L124)</f>
        <v>0.96</v>
      </c>
      <c r="N124" s="619"/>
      <c r="O124" s="105" t="s">
        <v>307</v>
      </c>
    </row>
    <row r="125" spans="2:15" s="45" customFormat="1" hidden="1">
      <c r="B125" s="128">
        <f>B124+1</f>
        <v>97</v>
      </c>
      <c r="C125" s="687">
        <f t="shared" si="29"/>
        <v>114.69</v>
      </c>
      <c r="D125" s="519">
        <v>44824</v>
      </c>
      <c r="E125" s="31" t="s">
        <v>519</v>
      </c>
      <c r="F125" s="578" t="s">
        <v>465</v>
      </c>
      <c r="G125" s="520" t="s">
        <v>457</v>
      </c>
      <c r="H125" s="24" t="s">
        <v>466</v>
      </c>
      <c r="I125" s="593"/>
      <c r="J125" s="593">
        <v>109.24</v>
      </c>
      <c r="K125" s="587"/>
      <c r="L125" s="587"/>
      <c r="M125" s="588">
        <f t="shared" si="30"/>
        <v>109.24</v>
      </c>
      <c r="N125" s="620">
        <v>5.45</v>
      </c>
      <c r="O125" s="70" t="s">
        <v>310</v>
      </c>
    </row>
    <row r="126" spans="2:15" s="45" customFormat="1" hidden="1">
      <c r="B126" s="177">
        <f>B125+1</f>
        <v>98</v>
      </c>
      <c r="C126" s="686">
        <f t="shared" si="29"/>
        <v>614.03</v>
      </c>
      <c r="D126" s="523">
        <v>44834</v>
      </c>
      <c r="E126" s="527" t="s">
        <v>507</v>
      </c>
      <c r="F126" s="139" t="s">
        <v>508</v>
      </c>
      <c r="G126" s="524" t="s">
        <v>457</v>
      </c>
      <c r="H126" s="525" t="s">
        <v>509</v>
      </c>
      <c r="I126" s="589">
        <v>614.03</v>
      </c>
      <c r="J126" s="589"/>
      <c r="K126" s="590"/>
      <c r="L126" s="590"/>
      <c r="M126" s="591">
        <f t="shared" si="30"/>
        <v>614.03</v>
      </c>
      <c r="N126" s="619"/>
      <c r="O126" s="105" t="s">
        <v>306</v>
      </c>
    </row>
    <row r="127" spans="2:15" s="45" customFormat="1" hidden="1">
      <c r="B127" s="128">
        <f>B126+1</f>
        <v>99</v>
      </c>
      <c r="C127" s="687">
        <f t="shared" si="16"/>
        <v>18</v>
      </c>
      <c r="D127" s="519">
        <v>44834</v>
      </c>
      <c r="E127" s="24" t="s">
        <v>475</v>
      </c>
      <c r="F127" s="168" t="s">
        <v>582</v>
      </c>
      <c r="G127" s="520" t="s">
        <v>457</v>
      </c>
      <c r="H127" s="24" t="s">
        <v>581</v>
      </c>
      <c r="I127" s="602">
        <v>18</v>
      </c>
      <c r="J127" s="587"/>
      <c r="K127" s="587"/>
      <c r="L127" s="587"/>
      <c r="M127" s="588">
        <f t="shared" si="11"/>
        <v>18</v>
      </c>
      <c r="N127" s="620"/>
      <c r="O127" s="70" t="s">
        <v>307</v>
      </c>
    </row>
    <row r="128" spans="2:15" s="45" customFormat="1" hidden="1">
      <c r="B128" s="177">
        <f>B127+1</f>
        <v>100</v>
      </c>
      <c r="C128" s="686">
        <f t="shared" si="29"/>
        <v>1.99</v>
      </c>
      <c r="D128" s="523">
        <f>'PockIt-Petty Cash'!B45</f>
        <v>44838</v>
      </c>
      <c r="E128" s="527" t="s">
        <v>475</v>
      </c>
      <c r="F128" s="139" t="s">
        <v>582</v>
      </c>
      <c r="G128" s="524" t="s">
        <v>457</v>
      </c>
      <c r="H128" s="525" t="s">
        <v>256</v>
      </c>
      <c r="I128" s="589">
        <v>1.99</v>
      </c>
      <c r="J128" s="589"/>
      <c r="K128" s="590"/>
      <c r="L128" s="590"/>
      <c r="M128" s="591">
        <f t="shared" si="11"/>
        <v>1.99</v>
      </c>
      <c r="N128" s="619"/>
      <c r="O128" s="105" t="s">
        <v>307</v>
      </c>
    </row>
    <row r="129" spans="2:15" hidden="1">
      <c r="B129" s="732">
        <f>B128+1</f>
        <v>101</v>
      </c>
      <c r="C129" s="682">
        <f>M129+M130+N129+N130</f>
        <v>103.44</v>
      </c>
      <c r="D129" s="519">
        <v>44841</v>
      </c>
      <c r="E129" s="574" t="s">
        <v>519</v>
      </c>
      <c r="F129" s="363" t="s">
        <v>520</v>
      </c>
      <c r="G129" s="520" t="s">
        <v>457</v>
      </c>
      <c r="H129" s="24" t="s">
        <v>653</v>
      </c>
      <c r="I129" s="593">
        <v>53.39</v>
      </c>
      <c r="J129" s="598"/>
      <c r="K129" s="593"/>
      <c r="L129" s="587"/>
      <c r="M129" s="588">
        <f t="shared" ref="M129:M130" si="31">SUM(I129:L129)</f>
        <v>53.39</v>
      </c>
      <c r="N129" s="620"/>
      <c r="O129" s="364" t="s">
        <v>306</v>
      </c>
    </row>
    <row r="130" spans="2:15" hidden="1">
      <c r="B130" s="732"/>
      <c r="C130" s="682"/>
      <c r="D130" s="519"/>
      <c r="E130" s="574"/>
      <c r="F130" s="365" t="s">
        <v>520</v>
      </c>
      <c r="G130" s="520"/>
      <c r="H130" s="24"/>
      <c r="I130" s="593">
        <v>50.05</v>
      </c>
      <c r="J130" s="598"/>
      <c r="K130" s="593"/>
      <c r="L130" s="587"/>
      <c r="M130" s="588">
        <f t="shared" si="31"/>
        <v>50.05</v>
      </c>
      <c r="N130" s="620"/>
      <c r="O130" s="364" t="s">
        <v>521</v>
      </c>
    </row>
    <row r="131" spans="2:15" s="45" customFormat="1" hidden="1">
      <c r="B131" s="177">
        <f>B128+1</f>
        <v>101</v>
      </c>
      <c r="C131" s="686">
        <f t="shared" ref="C131:C192" si="32">SUM(M131:N131)</f>
        <v>-52</v>
      </c>
      <c r="D131" s="523">
        <f>'PockIt-Petty Cash'!B46</f>
        <v>44845</v>
      </c>
      <c r="E131" s="527" t="s">
        <v>640</v>
      </c>
      <c r="F131" s="139" t="s">
        <v>641</v>
      </c>
      <c r="G131" s="524" t="s">
        <v>457</v>
      </c>
      <c r="H131" s="525" t="s">
        <v>642</v>
      </c>
      <c r="I131" s="589"/>
      <c r="J131" s="589">
        <v>-52</v>
      </c>
      <c r="K131" s="590"/>
      <c r="L131" s="590"/>
      <c r="M131" s="591">
        <f t="shared" ref="M131:M192" si="33">SUM(I131:L131)</f>
        <v>-52</v>
      </c>
      <c r="N131" s="619"/>
      <c r="O131" s="105" t="s">
        <v>345</v>
      </c>
    </row>
    <row r="132" spans="2:15" s="45" customFormat="1" hidden="1">
      <c r="B132" s="128">
        <f>B131+1</f>
        <v>102</v>
      </c>
      <c r="C132" s="687">
        <f t="shared" si="32"/>
        <v>1.99</v>
      </c>
      <c r="D132" s="519">
        <f>'PockIt-Petty Cash'!B47</f>
        <v>44845</v>
      </c>
      <c r="E132" s="31" t="s">
        <v>475</v>
      </c>
      <c r="F132" s="140" t="s">
        <v>582</v>
      </c>
      <c r="G132" s="520" t="s">
        <v>457</v>
      </c>
      <c r="H132" s="24" t="s">
        <v>256</v>
      </c>
      <c r="I132" s="593">
        <v>1.99</v>
      </c>
      <c r="J132" s="593"/>
      <c r="K132" s="587"/>
      <c r="L132" s="587"/>
      <c r="M132" s="588">
        <f t="shared" si="33"/>
        <v>1.99</v>
      </c>
      <c r="N132" s="620"/>
      <c r="O132" s="70" t="s">
        <v>307</v>
      </c>
    </row>
    <row r="133" spans="2:15" s="45" customFormat="1" hidden="1">
      <c r="B133" s="177">
        <f>B132+1</f>
        <v>103</v>
      </c>
      <c r="C133" s="686">
        <f>SUM(M133:N133)</f>
        <v>59.53</v>
      </c>
      <c r="D133" s="523">
        <v>44845</v>
      </c>
      <c r="E133" s="527" t="s">
        <v>254</v>
      </c>
      <c r="F133" s="577" t="s">
        <v>632</v>
      </c>
      <c r="G133" s="524" t="s">
        <v>457</v>
      </c>
      <c r="H133" s="525" t="s">
        <v>633</v>
      </c>
      <c r="I133" s="589"/>
      <c r="J133" s="589">
        <v>49.53</v>
      </c>
      <c r="K133" s="590"/>
      <c r="L133" s="590"/>
      <c r="M133" s="591">
        <f t="shared" si="33"/>
        <v>49.53</v>
      </c>
      <c r="N133" s="619">
        <v>10</v>
      </c>
      <c r="O133" s="105" t="s">
        <v>309</v>
      </c>
    </row>
    <row r="134" spans="2:15" s="45" customFormat="1" hidden="1">
      <c r="B134" s="128">
        <f t="shared" ref="B134:B147" si="34">B133+1</f>
        <v>104</v>
      </c>
      <c r="C134" s="687">
        <f t="shared" si="32"/>
        <v>118.17</v>
      </c>
      <c r="D134" s="519">
        <v>44855</v>
      </c>
      <c r="E134" s="31" t="s">
        <v>519</v>
      </c>
      <c r="F134" s="578" t="s">
        <v>465</v>
      </c>
      <c r="G134" s="520" t="s">
        <v>457</v>
      </c>
      <c r="H134" s="24" t="s">
        <v>466</v>
      </c>
      <c r="I134" s="593"/>
      <c r="J134" s="593">
        <v>112.55</v>
      </c>
      <c r="K134" s="587"/>
      <c r="L134" s="587"/>
      <c r="M134" s="588">
        <f t="shared" si="33"/>
        <v>112.55</v>
      </c>
      <c r="N134" s="620">
        <v>5.62</v>
      </c>
      <c r="O134" s="70" t="s">
        <v>310</v>
      </c>
    </row>
    <row r="135" spans="2:15" s="45" customFormat="1" hidden="1">
      <c r="B135" s="177">
        <f t="shared" si="34"/>
        <v>105</v>
      </c>
      <c r="C135" s="686">
        <f t="shared" si="32"/>
        <v>23.98</v>
      </c>
      <c r="D135" s="523">
        <v>44856</v>
      </c>
      <c r="E135" s="525" t="s">
        <v>254</v>
      </c>
      <c r="F135" s="579" t="s">
        <v>625</v>
      </c>
      <c r="G135" s="524" t="s">
        <v>457</v>
      </c>
      <c r="H135" s="525" t="s">
        <v>626</v>
      </c>
      <c r="I135" s="599"/>
      <c r="J135" s="590"/>
      <c r="K135" s="590"/>
      <c r="L135" s="590">
        <v>23.98</v>
      </c>
      <c r="M135" s="591">
        <f t="shared" si="33"/>
        <v>23.98</v>
      </c>
      <c r="N135" s="619"/>
      <c r="O135" s="105" t="s">
        <v>345</v>
      </c>
    </row>
    <row r="136" spans="2:15" s="45" customFormat="1" hidden="1">
      <c r="B136" s="128">
        <f t="shared" si="34"/>
        <v>106</v>
      </c>
      <c r="C136" s="687">
        <f t="shared" si="32"/>
        <v>62.52</v>
      </c>
      <c r="D136" s="519">
        <v>44858</v>
      </c>
      <c r="E136" s="24" t="s">
        <v>469</v>
      </c>
      <c r="F136" s="575" t="s">
        <v>627</v>
      </c>
      <c r="G136" s="520" t="s">
        <v>457</v>
      </c>
      <c r="H136" s="24" t="s">
        <v>628</v>
      </c>
      <c r="I136" s="602"/>
      <c r="J136" s="587">
        <v>52.1</v>
      </c>
      <c r="K136" s="587"/>
      <c r="L136" s="587"/>
      <c r="M136" s="588">
        <f t="shared" si="33"/>
        <v>52.1</v>
      </c>
      <c r="N136" s="620">
        <v>10.42</v>
      </c>
      <c r="O136" s="70" t="s">
        <v>323</v>
      </c>
    </row>
    <row r="137" spans="2:15" s="45" customFormat="1" hidden="1">
      <c r="B137" s="177">
        <f t="shared" si="34"/>
        <v>107</v>
      </c>
      <c r="C137" s="686">
        <f t="shared" si="32"/>
        <v>500</v>
      </c>
      <c r="D137" s="523">
        <v>44858</v>
      </c>
      <c r="E137" s="525" t="s">
        <v>469</v>
      </c>
      <c r="F137" s="161" t="s">
        <v>629</v>
      </c>
      <c r="G137" s="524" t="s">
        <v>457</v>
      </c>
      <c r="H137" s="525" t="s">
        <v>630</v>
      </c>
      <c r="I137" s="599"/>
      <c r="J137" s="590">
        <v>500</v>
      </c>
      <c r="K137" s="590"/>
      <c r="L137" s="590"/>
      <c r="M137" s="591">
        <f t="shared" si="33"/>
        <v>500</v>
      </c>
      <c r="N137" s="619"/>
      <c r="O137" s="105" t="s">
        <v>320</v>
      </c>
    </row>
    <row r="138" spans="2:15" s="45" customFormat="1" hidden="1">
      <c r="B138" s="128">
        <f t="shared" si="34"/>
        <v>108</v>
      </c>
      <c r="C138" s="687">
        <f t="shared" si="32"/>
        <v>720</v>
      </c>
      <c r="D138" s="519">
        <v>44858</v>
      </c>
      <c r="E138" s="24" t="s">
        <v>469</v>
      </c>
      <c r="F138" s="575" t="s">
        <v>631</v>
      </c>
      <c r="G138" s="520" t="s">
        <v>457</v>
      </c>
      <c r="H138" s="24" t="s">
        <v>530</v>
      </c>
      <c r="I138" s="602"/>
      <c r="J138" s="587">
        <v>720</v>
      </c>
      <c r="K138" s="587"/>
      <c r="L138" s="587"/>
      <c r="M138" s="588">
        <f t="shared" si="33"/>
        <v>720</v>
      </c>
      <c r="N138" s="620"/>
      <c r="O138" s="70" t="s">
        <v>312</v>
      </c>
    </row>
    <row r="139" spans="2:15" s="45" customFormat="1" hidden="1">
      <c r="B139" s="177">
        <f t="shared" si="34"/>
        <v>109</v>
      </c>
      <c r="C139" s="686">
        <f t="shared" si="32"/>
        <v>38.06</v>
      </c>
      <c r="D139" s="523">
        <v>44858</v>
      </c>
      <c r="E139" s="525" t="s">
        <v>469</v>
      </c>
      <c r="F139" s="579" t="s">
        <v>634</v>
      </c>
      <c r="G139" s="524" t="s">
        <v>457</v>
      </c>
      <c r="H139" s="525" t="s">
        <v>462</v>
      </c>
      <c r="I139" s="599"/>
      <c r="J139" s="590">
        <v>31.72</v>
      </c>
      <c r="K139" s="590"/>
      <c r="L139" s="590"/>
      <c r="M139" s="591">
        <f t="shared" si="33"/>
        <v>31.72</v>
      </c>
      <c r="N139" s="619">
        <v>6.34</v>
      </c>
      <c r="O139" s="105" t="s">
        <v>312</v>
      </c>
    </row>
    <row r="140" spans="2:15" s="45" customFormat="1" hidden="1">
      <c r="B140" s="732">
        <f t="shared" si="34"/>
        <v>110</v>
      </c>
      <c r="C140" s="682">
        <f>M140+M141+N140+N141+M142+N142</f>
        <v>255.43</v>
      </c>
      <c r="D140" s="519">
        <v>44858</v>
      </c>
      <c r="E140" s="24" t="s">
        <v>469</v>
      </c>
      <c r="F140" s="575" t="s">
        <v>635</v>
      </c>
      <c r="G140" s="520" t="s">
        <v>457</v>
      </c>
      <c r="H140" s="24" t="s">
        <v>492</v>
      </c>
      <c r="I140" s="602"/>
      <c r="J140" s="587">
        <v>178.79</v>
      </c>
      <c r="K140" s="587"/>
      <c r="L140" s="587"/>
      <c r="M140" s="588">
        <f t="shared" si="33"/>
        <v>178.79</v>
      </c>
      <c r="N140" s="620">
        <v>35.76</v>
      </c>
      <c r="O140" s="70" t="s">
        <v>307</v>
      </c>
    </row>
    <row r="141" spans="2:15" s="45" customFormat="1" hidden="1">
      <c r="B141" s="732"/>
      <c r="C141" s="682"/>
      <c r="D141" s="519"/>
      <c r="E141" s="24"/>
      <c r="F141" s="575" t="s">
        <v>636</v>
      </c>
      <c r="G141" s="520"/>
      <c r="H141" s="24"/>
      <c r="I141" s="602"/>
      <c r="J141" s="587">
        <v>7.04</v>
      </c>
      <c r="K141" s="587"/>
      <c r="L141" s="587"/>
      <c r="M141" s="588">
        <f t="shared" si="33"/>
        <v>7.04</v>
      </c>
      <c r="N141" s="620">
        <v>0.89</v>
      </c>
      <c r="O141" s="70" t="s">
        <v>323</v>
      </c>
    </row>
    <row r="142" spans="2:15" s="45" customFormat="1" hidden="1">
      <c r="B142" s="732"/>
      <c r="C142" s="682"/>
      <c r="D142" s="519"/>
      <c r="E142" s="24"/>
      <c r="F142" s="575" t="s">
        <v>637</v>
      </c>
      <c r="G142" s="520"/>
      <c r="H142" s="24"/>
      <c r="I142" s="602"/>
      <c r="J142" s="587">
        <v>27.46</v>
      </c>
      <c r="K142" s="587"/>
      <c r="L142" s="587"/>
      <c r="M142" s="588">
        <f t="shared" si="33"/>
        <v>27.46</v>
      </c>
      <c r="N142" s="620">
        <v>5.49</v>
      </c>
      <c r="O142" s="70" t="s">
        <v>345</v>
      </c>
    </row>
    <row r="143" spans="2:15" s="45" customFormat="1" hidden="1">
      <c r="B143" s="177">
        <f>B140+1</f>
        <v>111</v>
      </c>
      <c r="C143" s="686">
        <f t="shared" si="32"/>
        <v>614.03</v>
      </c>
      <c r="D143" s="523">
        <v>44865</v>
      </c>
      <c r="E143" s="525" t="s">
        <v>507</v>
      </c>
      <c r="F143" s="161" t="s">
        <v>508</v>
      </c>
      <c r="G143" s="524" t="s">
        <v>457</v>
      </c>
      <c r="H143" s="525" t="s">
        <v>509</v>
      </c>
      <c r="I143" s="589">
        <v>614.03</v>
      </c>
      <c r="J143" s="590"/>
      <c r="K143" s="590"/>
      <c r="L143" s="590"/>
      <c r="M143" s="591">
        <f t="shared" si="33"/>
        <v>614.03</v>
      </c>
      <c r="N143" s="619"/>
      <c r="O143" s="105" t="s">
        <v>306</v>
      </c>
    </row>
    <row r="144" spans="2:15" s="45" customFormat="1" hidden="1">
      <c r="B144" s="128">
        <f>B143+1</f>
        <v>112</v>
      </c>
      <c r="C144" s="687">
        <f t="shared" ref="C144" si="35">SUM(M144:N144)</f>
        <v>1.99</v>
      </c>
      <c r="D144" s="519">
        <v>44876</v>
      </c>
      <c r="E144" s="31" t="s">
        <v>475</v>
      </c>
      <c r="F144" s="140" t="s">
        <v>582</v>
      </c>
      <c r="G144" s="520" t="s">
        <v>457</v>
      </c>
      <c r="H144" s="24" t="s">
        <v>256</v>
      </c>
      <c r="I144" s="593">
        <v>1.99</v>
      </c>
      <c r="J144" s="593"/>
      <c r="K144" s="587"/>
      <c r="L144" s="587"/>
      <c r="M144" s="588">
        <f t="shared" si="33"/>
        <v>1.99</v>
      </c>
      <c r="N144" s="620"/>
      <c r="O144" s="70" t="s">
        <v>307</v>
      </c>
    </row>
    <row r="145" spans="2:15" s="45" customFormat="1" hidden="1">
      <c r="B145" s="177">
        <f>B144+1</f>
        <v>113</v>
      </c>
      <c r="C145" s="686">
        <f t="shared" ref="C145" si="36">SUM(M145:N145)</f>
        <v>48</v>
      </c>
      <c r="D145" s="523">
        <v>44879</v>
      </c>
      <c r="E145" s="527" t="s">
        <v>254</v>
      </c>
      <c r="F145" s="161" t="s">
        <v>647</v>
      </c>
      <c r="G145" s="524" t="s">
        <v>457</v>
      </c>
      <c r="H145" s="525" t="s">
        <v>405</v>
      </c>
      <c r="I145" s="589"/>
      <c r="J145" s="589">
        <v>48</v>
      </c>
      <c r="K145" s="590"/>
      <c r="L145" s="590"/>
      <c r="M145" s="591">
        <f t="shared" si="33"/>
        <v>48</v>
      </c>
      <c r="N145" s="619"/>
      <c r="O145" s="105" t="s">
        <v>319</v>
      </c>
    </row>
    <row r="146" spans="2:15" s="45" customFormat="1" hidden="1">
      <c r="B146" s="128">
        <f>B145+1</f>
        <v>114</v>
      </c>
      <c r="C146" s="687">
        <f t="shared" si="32"/>
        <v>107.74</v>
      </c>
      <c r="D146" s="519">
        <v>44885</v>
      </c>
      <c r="E146" s="31" t="s">
        <v>519</v>
      </c>
      <c r="F146" s="578" t="s">
        <v>465</v>
      </c>
      <c r="G146" s="520" t="s">
        <v>457</v>
      </c>
      <c r="H146" s="24" t="s">
        <v>466</v>
      </c>
      <c r="I146" s="593"/>
      <c r="J146" s="593">
        <v>102.61</v>
      </c>
      <c r="K146" s="587"/>
      <c r="L146" s="587"/>
      <c r="M146" s="588">
        <f t="shared" si="33"/>
        <v>102.61</v>
      </c>
      <c r="N146" s="620">
        <f>M146*5%</f>
        <v>5.13</v>
      </c>
      <c r="O146" s="70" t="s">
        <v>310</v>
      </c>
    </row>
    <row r="147" spans="2:15" s="45" customFormat="1" hidden="1">
      <c r="B147" s="177">
        <f t="shared" si="34"/>
        <v>115</v>
      </c>
      <c r="C147" s="686">
        <f t="shared" si="32"/>
        <v>51.6</v>
      </c>
      <c r="D147" s="523">
        <v>44887</v>
      </c>
      <c r="E147" s="525" t="s">
        <v>469</v>
      </c>
      <c r="F147" s="579" t="s">
        <v>249</v>
      </c>
      <c r="G147" s="524" t="s">
        <v>457</v>
      </c>
      <c r="H147" s="525" t="s">
        <v>643</v>
      </c>
      <c r="I147" s="599"/>
      <c r="J147" s="590">
        <v>43</v>
      </c>
      <c r="K147" s="590"/>
      <c r="L147" s="590"/>
      <c r="M147" s="591">
        <f t="shared" si="33"/>
        <v>43</v>
      </c>
      <c r="N147" s="619">
        <f>M147*20%</f>
        <v>8.6</v>
      </c>
      <c r="O147" s="105" t="s">
        <v>345</v>
      </c>
    </row>
    <row r="148" spans="2:15" s="45" customFormat="1" hidden="1">
      <c r="B148" s="128">
        <f>B147+1</f>
        <v>116</v>
      </c>
      <c r="C148" s="687">
        <f t="shared" si="32"/>
        <v>535.01</v>
      </c>
      <c r="D148" s="519">
        <v>44887</v>
      </c>
      <c r="E148" s="24" t="s">
        <v>469</v>
      </c>
      <c r="F148" s="168" t="s">
        <v>476</v>
      </c>
      <c r="G148" s="520" t="s">
        <v>457</v>
      </c>
      <c r="H148" s="24" t="s">
        <v>477</v>
      </c>
      <c r="I148" s="602">
        <v>535.01</v>
      </c>
      <c r="J148" s="587"/>
      <c r="K148" s="587"/>
      <c r="L148" s="587"/>
      <c r="M148" s="588">
        <f t="shared" si="33"/>
        <v>535.01</v>
      </c>
      <c r="N148" s="620"/>
      <c r="O148" s="70" t="s">
        <v>306</v>
      </c>
    </row>
    <row r="149" spans="2:15" s="45" customFormat="1" hidden="1">
      <c r="B149" s="177">
        <f t="shared" ref="B149:B203" si="37">B148+1</f>
        <v>117</v>
      </c>
      <c r="C149" s="686">
        <f t="shared" si="32"/>
        <v>360</v>
      </c>
      <c r="D149" s="523">
        <v>44887</v>
      </c>
      <c r="E149" s="525" t="s">
        <v>469</v>
      </c>
      <c r="F149" s="579" t="s">
        <v>644</v>
      </c>
      <c r="G149" s="524" t="s">
        <v>457</v>
      </c>
      <c r="H149" s="525" t="s">
        <v>530</v>
      </c>
      <c r="I149" s="599"/>
      <c r="J149" s="590">
        <v>360</v>
      </c>
      <c r="K149" s="590"/>
      <c r="L149" s="590"/>
      <c r="M149" s="591">
        <f t="shared" si="33"/>
        <v>360</v>
      </c>
      <c r="N149" s="619"/>
      <c r="O149" s="105" t="s">
        <v>312</v>
      </c>
    </row>
    <row r="150" spans="2:15" s="45" customFormat="1" hidden="1">
      <c r="B150" s="128">
        <f t="shared" si="37"/>
        <v>118</v>
      </c>
      <c r="C150" s="687">
        <f t="shared" si="32"/>
        <v>4200</v>
      </c>
      <c r="D150" s="519">
        <v>44887</v>
      </c>
      <c r="E150" s="24" t="s">
        <v>469</v>
      </c>
      <c r="F150" s="575" t="s">
        <v>645</v>
      </c>
      <c r="G150" s="520" t="s">
        <v>457</v>
      </c>
      <c r="H150" s="24" t="s">
        <v>646</v>
      </c>
      <c r="I150" s="602"/>
      <c r="J150" s="587">
        <v>4200</v>
      </c>
      <c r="K150" s="587"/>
      <c r="L150" s="587"/>
      <c r="M150" s="588">
        <f t="shared" si="33"/>
        <v>4200</v>
      </c>
      <c r="N150" s="620"/>
      <c r="O150" s="70" t="s">
        <v>323</v>
      </c>
    </row>
    <row r="151" spans="2:15" s="45" customFormat="1" hidden="1">
      <c r="B151" s="177">
        <f t="shared" si="37"/>
        <v>119</v>
      </c>
      <c r="C151" s="686">
        <f t="shared" si="32"/>
        <v>614.03</v>
      </c>
      <c r="D151" s="523">
        <v>44895</v>
      </c>
      <c r="E151" s="525" t="s">
        <v>507</v>
      </c>
      <c r="F151" s="161" t="s">
        <v>508</v>
      </c>
      <c r="G151" s="524" t="s">
        <v>457</v>
      </c>
      <c r="H151" s="525" t="s">
        <v>509</v>
      </c>
      <c r="I151" s="589">
        <v>614.03</v>
      </c>
      <c r="J151" s="590"/>
      <c r="K151" s="590"/>
      <c r="L151" s="590"/>
      <c r="M151" s="591">
        <f t="shared" si="33"/>
        <v>614.03</v>
      </c>
      <c r="N151" s="619"/>
      <c r="O151" s="105" t="s">
        <v>306</v>
      </c>
    </row>
    <row r="152" spans="2:15" s="45" customFormat="1" hidden="1">
      <c r="B152" s="732">
        <f>B151+1</f>
        <v>120</v>
      </c>
      <c r="C152" s="682">
        <f>M152+M153+N152+N153</f>
        <v>103.44</v>
      </c>
      <c r="D152" s="519">
        <v>44896</v>
      </c>
      <c r="E152" s="574" t="s">
        <v>519</v>
      </c>
      <c r="F152" s="363" t="s">
        <v>520</v>
      </c>
      <c r="G152" s="520" t="s">
        <v>457</v>
      </c>
      <c r="H152" s="24" t="s">
        <v>654</v>
      </c>
      <c r="I152" s="593">
        <v>53.39</v>
      </c>
      <c r="J152" s="598"/>
      <c r="K152" s="593"/>
      <c r="L152" s="587"/>
      <c r="M152" s="588">
        <f t="shared" ref="M152:M153" si="38">SUM(I152:L152)</f>
        <v>53.39</v>
      </c>
      <c r="N152" s="620"/>
      <c r="O152" s="364" t="s">
        <v>306</v>
      </c>
    </row>
    <row r="153" spans="2:15" s="45" customFormat="1" hidden="1">
      <c r="B153" s="732"/>
      <c r="C153" s="682"/>
      <c r="D153" s="519"/>
      <c r="E153" s="574"/>
      <c r="F153" s="365" t="s">
        <v>520</v>
      </c>
      <c r="G153" s="520"/>
      <c r="H153" s="24"/>
      <c r="I153" s="593">
        <v>50.05</v>
      </c>
      <c r="J153" s="598"/>
      <c r="K153" s="593"/>
      <c r="L153" s="587"/>
      <c r="M153" s="588">
        <f t="shared" si="38"/>
        <v>50.05</v>
      </c>
      <c r="N153" s="620"/>
      <c r="O153" s="364" t="s">
        <v>521</v>
      </c>
    </row>
    <row r="154" spans="2:15" s="45" customFormat="1" hidden="1">
      <c r="B154" s="177">
        <f>B152+1</f>
        <v>121</v>
      </c>
      <c r="C154" s="686">
        <f t="shared" si="32"/>
        <v>42.95</v>
      </c>
      <c r="D154" s="523">
        <v>44899</v>
      </c>
      <c r="E154" s="525" t="s">
        <v>254</v>
      </c>
      <c r="F154" s="161" t="s">
        <v>671</v>
      </c>
      <c r="G154" s="524" t="s">
        <v>457</v>
      </c>
      <c r="H154" s="525" t="s">
        <v>672</v>
      </c>
      <c r="I154" s="589">
        <f>29.17+6.62</f>
        <v>35.79</v>
      </c>
      <c r="J154" s="590"/>
      <c r="K154" s="590"/>
      <c r="L154" s="590"/>
      <c r="M154" s="591">
        <f t="shared" ref="M154" si="39">SUM(I154:L154)</f>
        <v>35.79</v>
      </c>
      <c r="N154" s="619">
        <v>7.16</v>
      </c>
      <c r="O154" s="105" t="s">
        <v>307</v>
      </c>
    </row>
    <row r="155" spans="2:15" s="45" customFormat="1" hidden="1">
      <c r="B155" s="732">
        <f>B154+1</f>
        <v>122</v>
      </c>
      <c r="C155" s="682">
        <f>M155+M156+N155+N156</f>
        <v>163.62</v>
      </c>
      <c r="D155" s="519">
        <v>44903</v>
      </c>
      <c r="E155" s="574" t="s">
        <v>519</v>
      </c>
      <c r="F155" s="363" t="s">
        <v>520</v>
      </c>
      <c r="G155" s="520" t="s">
        <v>457</v>
      </c>
      <c r="H155" s="24" t="s">
        <v>655</v>
      </c>
      <c r="I155" s="593">
        <v>84.45</v>
      </c>
      <c r="J155" s="598"/>
      <c r="K155" s="593"/>
      <c r="L155" s="587"/>
      <c r="M155" s="588">
        <f t="shared" ref="M155:M156" si="40">SUM(I155:L155)</f>
        <v>84.45</v>
      </c>
      <c r="N155" s="620"/>
      <c r="O155" s="364" t="s">
        <v>306</v>
      </c>
    </row>
    <row r="156" spans="2:15" s="45" customFormat="1" hidden="1">
      <c r="B156" s="732"/>
      <c r="C156" s="682"/>
      <c r="D156" s="519"/>
      <c r="E156" s="574"/>
      <c r="F156" s="365" t="s">
        <v>520</v>
      </c>
      <c r="G156" s="520"/>
      <c r="H156" s="24"/>
      <c r="I156" s="593">
        <v>79.17</v>
      </c>
      <c r="J156" s="598"/>
      <c r="K156" s="593"/>
      <c r="L156" s="587"/>
      <c r="M156" s="588">
        <f t="shared" si="40"/>
        <v>79.17</v>
      </c>
      <c r="N156" s="620"/>
      <c r="O156" s="364" t="s">
        <v>521</v>
      </c>
    </row>
    <row r="157" spans="2:15" s="45" customFormat="1" hidden="1">
      <c r="B157" s="177">
        <f>B155+1</f>
        <v>123</v>
      </c>
      <c r="C157" s="686">
        <f t="shared" ref="C157" si="41">SUM(M157:N157)</f>
        <v>1.99</v>
      </c>
      <c r="D157" s="523">
        <v>44910</v>
      </c>
      <c r="E157" s="525" t="s">
        <v>475</v>
      </c>
      <c r="F157" s="161" t="s">
        <v>582</v>
      </c>
      <c r="G157" s="524" t="s">
        <v>457</v>
      </c>
      <c r="H157" s="525" t="s">
        <v>256</v>
      </c>
      <c r="I157" s="599">
        <v>1.99</v>
      </c>
      <c r="J157" s="590"/>
      <c r="K157" s="590"/>
      <c r="L157" s="590"/>
      <c r="M157" s="591">
        <f t="shared" ref="M157:M158" si="42">SUM(I157:L157)</f>
        <v>1.99</v>
      </c>
      <c r="N157" s="619"/>
      <c r="O157" s="105" t="s">
        <v>307</v>
      </c>
    </row>
    <row r="158" spans="2:15" s="45" customFormat="1" hidden="1">
      <c r="B158" s="128">
        <f>B157+1</f>
        <v>124</v>
      </c>
      <c r="C158" s="687">
        <f>SUM(M158:N158)</f>
        <v>111.21</v>
      </c>
      <c r="D158" s="519">
        <v>44914</v>
      </c>
      <c r="E158" s="31" t="s">
        <v>519</v>
      </c>
      <c r="F158" s="578" t="s">
        <v>465</v>
      </c>
      <c r="G158" s="520" t="s">
        <v>457</v>
      </c>
      <c r="H158" s="24" t="s">
        <v>466</v>
      </c>
      <c r="I158" s="593"/>
      <c r="J158" s="593">
        <v>105.92</v>
      </c>
      <c r="K158" s="587"/>
      <c r="L158" s="587"/>
      <c r="M158" s="588">
        <f t="shared" si="42"/>
        <v>105.92</v>
      </c>
      <c r="N158" s="620">
        <v>5.29</v>
      </c>
      <c r="O158" s="70" t="s">
        <v>310</v>
      </c>
    </row>
    <row r="159" spans="2:15" s="45" customFormat="1" hidden="1">
      <c r="B159" s="177">
        <f>B158+1</f>
        <v>125</v>
      </c>
      <c r="C159" s="686">
        <f t="shared" si="32"/>
        <v>46.42</v>
      </c>
      <c r="D159" s="523">
        <v>44916</v>
      </c>
      <c r="E159" s="525" t="s">
        <v>469</v>
      </c>
      <c r="F159" s="579" t="s">
        <v>657</v>
      </c>
      <c r="G159" s="524" t="s">
        <v>457</v>
      </c>
      <c r="H159" s="525" t="s">
        <v>585</v>
      </c>
      <c r="I159" s="599"/>
      <c r="J159" s="590"/>
      <c r="K159" s="590"/>
      <c r="L159" s="590"/>
      <c r="M159" s="591">
        <f t="shared" si="33"/>
        <v>0</v>
      </c>
      <c r="N159" s="619">
        <v>46.42</v>
      </c>
      <c r="O159" s="105"/>
    </row>
    <row r="160" spans="2:15" s="45" customFormat="1" hidden="1">
      <c r="B160" s="128">
        <f t="shared" si="37"/>
        <v>126</v>
      </c>
      <c r="C160" s="687">
        <f t="shared" si="32"/>
        <v>24.07</v>
      </c>
      <c r="D160" s="519">
        <v>44916</v>
      </c>
      <c r="E160" s="24" t="s">
        <v>469</v>
      </c>
      <c r="F160" s="575" t="s">
        <v>658</v>
      </c>
      <c r="G160" s="520" t="s">
        <v>457</v>
      </c>
      <c r="H160" s="24" t="s">
        <v>628</v>
      </c>
      <c r="I160" s="602"/>
      <c r="J160" s="587">
        <v>24.07</v>
      </c>
      <c r="K160" s="587"/>
      <c r="L160" s="587"/>
      <c r="M160" s="588">
        <f t="shared" si="33"/>
        <v>24.07</v>
      </c>
      <c r="N160" s="620"/>
      <c r="O160" s="70" t="s">
        <v>345</v>
      </c>
    </row>
    <row r="161" spans="2:15" s="45" customFormat="1" hidden="1">
      <c r="B161" s="177">
        <f t="shared" si="37"/>
        <v>127</v>
      </c>
      <c r="C161" s="686">
        <f t="shared" si="32"/>
        <v>500</v>
      </c>
      <c r="D161" s="523">
        <v>44916</v>
      </c>
      <c r="E161" s="525" t="s">
        <v>469</v>
      </c>
      <c r="F161" s="161" t="s">
        <v>659</v>
      </c>
      <c r="G161" s="524" t="s">
        <v>457</v>
      </c>
      <c r="H161" s="525" t="s">
        <v>660</v>
      </c>
      <c r="I161" s="599"/>
      <c r="J161" s="590"/>
      <c r="K161" s="590"/>
      <c r="L161" s="590">
        <v>500</v>
      </c>
      <c r="M161" s="591">
        <f t="shared" si="33"/>
        <v>500</v>
      </c>
      <c r="N161" s="619"/>
      <c r="O161" s="105" t="s">
        <v>490</v>
      </c>
    </row>
    <row r="162" spans="2:15" s="45" customFormat="1" hidden="1">
      <c r="B162" s="128">
        <f t="shared" si="37"/>
        <v>128</v>
      </c>
      <c r="C162" s="687">
        <f t="shared" si="32"/>
        <v>275</v>
      </c>
      <c r="D162" s="519">
        <v>44916</v>
      </c>
      <c r="E162" s="24" t="s">
        <v>469</v>
      </c>
      <c r="F162" s="575" t="s">
        <v>661</v>
      </c>
      <c r="G162" s="520" t="s">
        <v>457</v>
      </c>
      <c r="H162" s="24" t="s">
        <v>662</v>
      </c>
      <c r="I162" s="602"/>
      <c r="J162" s="587">
        <v>275</v>
      </c>
      <c r="K162" s="587"/>
      <c r="L162" s="587"/>
      <c r="M162" s="588">
        <f t="shared" si="33"/>
        <v>275</v>
      </c>
      <c r="N162" s="620"/>
      <c r="O162" s="70" t="s">
        <v>311</v>
      </c>
    </row>
    <row r="163" spans="2:15" s="45" customFormat="1" hidden="1">
      <c r="B163" s="177">
        <f t="shared" si="37"/>
        <v>129</v>
      </c>
      <c r="C163" s="686">
        <f t="shared" si="32"/>
        <v>180</v>
      </c>
      <c r="D163" s="523">
        <v>44916</v>
      </c>
      <c r="E163" s="525" t="s">
        <v>469</v>
      </c>
      <c r="F163" s="579" t="s">
        <v>663</v>
      </c>
      <c r="G163" s="524" t="s">
        <v>457</v>
      </c>
      <c r="H163" s="525" t="s">
        <v>664</v>
      </c>
      <c r="I163" s="599"/>
      <c r="J163" s="590">
        <v>180</v>
      </c>
      <c r="K163" s="590"/>
      <c r="L163" s="590"/>
      <c r="M163" s="591">
        <f t="shared" si="33"/>
        <v>180</v>
      </c>
      <c r="N163" s="619"/>
      <c r="O163" s="105" t="s">
        <v>312</v>
      </c>
    </row>
    <row r="164" spans="2:15" s="45" customFormat="1" hidden="1">
      <c r="B164" s="128">
        <f t="shared" si="37"/>
        <v>130</v>
      </c>
      <c r="C164" s="687">
        <f t="shared" si="32"/>
        <v>293</v>
      </c>
      <c r="D164" s="519">
        <v>44917</v>
      </c>
      <c r="E164" s="24" t="s">
        <v>254</v>
      </c>
      <c r="F164" s="575" t="s">
        <v>665</v>
      </c>
      <c r="G164" s="520" t="s">
        <v>457</v>
      </c>
      <c r="H164" s="24" t="s">
        <v>666</v>
      </c>
      <c r="I164" s="602"/>
      <c r="J164" s="587">
        <v>244.17</v>
      </c>
      <c r="K164" s="587"/>
      <c r="L164" s="587"/>
      <c r="M164" s="588">
        <f t="shared" si="33"/>
        <v>244.17</v>
      </c>
      <c r="N164" s="620">
        <v>48.83</v>
      </c>
      <c r="O164" s="70" t="s">
        <v>317</v>
      </c>
    </row>
    <row r="165" spans="2:15" s="45" customFormat="1">
      <c r="B165" s="177">
        <f>B164+1</f>
        <v>131</v>
      </c>
      <c r="C165" s="686">
        <f>SUM(M165:N165)</f>
        <v>14.39</v>
      </c>
      <c r="D165" s="523">
        <v>44919</v>
      </c>
      <c r="E165" s="525" t="s">
        <v>254</v>
      </c>
      <c r="F165" s="579" t="s">
        <v>668</v>
      </c>
      <c r="G165" s="524" t="s">
        <v>457</v>
      </c>
      <c r="H165" s="525" t="s">
        <v>669</v>
      </c>
      <c r="I165" s="599"/>
      <c r="J165" s="590">
        <v>11.99</v>
      </c>
      <c r="K165" s="590"/>
      <c r="L165" s="590"/>
      <c r="M165" s="591">
        <f>SUM(I165:L165)</f>
        <v>11.99</v>
      </c>
      <c r="N165" s="619">
        <v>2.4</v>
      </c>
      <c r="O165" s="105" t="s">
        <v>322</v>
      </c>
    </row>
    <row r="166" spans="2:15" s="45" customFormat="1">
      <c r="B166" s="128">
        <f>B165+1</f>
        <v>132</v>
      </c>
      <c r="C166" s="687">
        <f>SUM(M166:N166)</f>
        <v>62.37</v>
      </c>
      <c r="D166" s="519">
        <v>45287</v>
      </c>
      <c r="E166" s="24" t="s">
        <v>254</v>
      </c>
      <c r="F166" s="575" t="s">
        <v>668</v>
      </c>
      <c r="G166" s="520" t="s">
        <v>457</v>
      </c>
      <c r="H166" s="24" t="s">
        <v>669</v>
      </c>
      <c r="I166" s="602"/>
      <c r="J166" s="587">
        <v>51.97</v>
      </c>
      <c r="K166" s="587"/>
      <c r="L166" s="587"/>
      <c r="M166" s="588">
        <f t="shared" ref="M166" si="43">SUM(I166:L166)</f>
        <v>51.97</v>
      </c>
      <c r="N166" s="620">
        <v>10.4</v>
      </c>
      <c r="O166" s="70" t="s">
        <v>322</v>
      </c>
    </row>
    <row r="167" spans="2:15" s="45" customFormat="1" hidden="1">
      <c r="B167" s="177">
        <f>B166+1</f>
        <v>133</v>
      </c>
      <c r="C167" s="686">
        <f t="shared" si="32"/>
        <v>18</v>
      </c>
      <c r="D167" s="523">
        <v>44926</v>
      </c>
      <c r="E167" s="525" t="s">
        <v>475</v>
      </c>
      <c r="F167" s="161" t="s">
        <v>582</v>
      </c>
      <c r="G167" s="524" t="s">
        <v>457</v>
      </c>
      <c r="H167" s="525" t="s">
        <v>581</v>
      </c>
      <c r="I167" s="599">
        <v>18</v>
      </c>
      <c r="J167" s="590"/>
      <c r="K167" s="590"/>
      <c r="L167" s="590"/>
      <c r="M167" s="591">
        <f t="shared" si="33"/>
        <v>18</v>
      </c>
      <c r="N167" s="619"/>
      <c r="O167" s="105" t="s">
        <v>307</v>
      </c>
    </row>
    <row r="168" spans="2:15" hidden="1">
      <c r="B168" s="128">
        <f>B167+1</f>
        <v>134</v>
      </c>
      <c r="C168" s="687">
        <f t="shared" si="32"/>
        <v>614.03</v>
      </c>
      <c r="D168" s="519">
        <v>44929</v>
      </c>
      <c r="E168" s="24" t="s">
        <v>507</v>
      </c>
      <c r="F168" s="168" t="s">
        <v>508</v>
      </c>
      <c r="G168" s="520" t="s">
        <v>457</v>
      </c>
      <c r="H168" s="24" t="s">
        <v>509</v>
      </c>
      <c r="I168" s="602">
        <v>614.03</v>
      </c>
      <c r="J168" s="587"/>
      <c r="K168" s="587"/>
      <c r="L168" s="587"/>
      <c r="M168" s="588">
        <f t="shared" si="33"/>
        <v>614.03</v>
      </c>
      <c r="N168" s="620"/>
      <c r="O168" s="70" t="s">
        <v>306</v>
      </c>
    </row>
    <row r="169" spans="2:15" s="45" customFormat="1" hidden="1">
      <c r="B169" s="729">
        <f>B168+1</f>
        <v>135</v>
      </c>
      <c r="C169" s="683">
        <f>M169+M170+N169+N170</f>
        <v>110.96</v>
      </c>
      <c r="D169" s="523">
        <v>44935</v>
      </c>
      <c r="E169" s="552" t="s">
        <v>519</v>
      </c>
      <c r="F169" s="178" t="s">
        <v>520</v>
      </c>
      <c r="G169" s="524" t="s">
        <v>457</v>
      </c>
      <c r="H169" s="525" t="s">
        <v>674</v>
      </c>
      <c r="I169" s="589">
        <v>57.27</v>
      </c>
      <c r="J169" s="592"/>
      <c r="K169" s="589"/>
      <c r="L169" s="590"/>
      <c r="M169" s="591">
        <f t="shared" ref="M169:M170" si="44">SUM(I169:L169)</f>
        <v>57.27</v>
      </c>
      <c r="N169" s="619"/>
      <c r="O169" s="179" t="s">
        <v>306</v>
      </c>
    </row>
    <row r="170" spans="2:15" s="45" customFormat="1" hidden="1">
      <c r="B170" s="729"/>
      <c r="C170" s="683"/>
      <c r="D170" s="523"/>
      <c r="E170" s="552"/>
      <c r="F170" s="604" t="s">
        <v>520</v>
      </c>
      <c r="G170" s="524"/>
      <c r="H170" s="525"/>
      <c r="I170" s="589">
        <v>53.69</v>
      </c>
      <c r="J170" s="592"/>
      <c r="K170" s="589"/>
      <c r="L170" s="590"/>
      <c r="M170" s="591">
        <f t="shared" si="44"/>
        <v>53.69</v>
      </c>
      <c r="N170" s="619"/>
      <c r="O170" s="179" t="s">
        <v>521</v>
      </c>
    </row>
    <row r="171" spans="2:15" s="45" customFormat="1" hidden="1">
      <c r="B171" s="128">
        <f>B169+1</f>
        <v>136</v>
      </c>
      <c r="C171" s="687">
        <f t="shared" ref="C171" si="45">SUM(M171:N171)</f>
        <v>1.99</v>
      </c>
      <c r="D171" s="519">
        <v>44937</v>
      </c>
      <c r="E171" s="574" t="s">
        <v>475</v>
      </c>
      <c r="F171" s="627" t="s">
        <v>582</v>
      </c>
      <c r="G171" s="520" t="s">
        <v>457</v>
      </c>
      <c r="H171" s="24" t="s">
        <v>256</v>
      </c>
      <c r="I171" s="603">
        <v>1.99</v>
      </c>
      <c r="J171" s="598"/>
      <c r="K171" s="593"/>
      <c r="L171" s="587"/>
      <c r="M171" s="588">
        <f t="shared" ref="M171" si="46">SUM(I171:L171)</f>
        <v>1.99</v>
      </c>
      <c r="N171" s="620"/>
      <c r="O171" s="364" t="s">
        <v>307</v>
      </c>
    </row>
    <row r="172" spans="2:15" hidden="1">
      <c r="B172" s="177">
        <f>B171+1</f>
        <v>137</v>
      </c>
      <c r="C172" s="686">
        <f t="shared" si="32"/>
        <v>121.66</v>
      </c>
      <c r="D172" s="523">
        <v>44949</v>
      </c>
      <c r="E172" s="525" t="s">
        <v>519</v>
      </c>
      <c r="F172" s="161" t="s">
        <v>465</v>
      </c>
      <c r="G172" s="524" t="s">
        <v>457</v>
      </c>
      <c r="H172" s="581" t="s">
        <v>466</v>
      </c>
      <c r="I172" s="599"/>
      <c r="J172" s="590">
        <v>115.87</v>
      </c>
      <c r="K172" s="590"/>
      <c r="L172" s="590"/>
      <c r="M172" s="591">
        <f t="shared" si="33"/>
        <v>115.87</v>
      </c>
      <c r="N172" s="619">
        <v>5.79</v>
      </c>
      <c r="O172" s="105" t="s">
        <v>310</v>
      </c>
    </row>
    <row r="173" spans="2:15" hidden="1">
      <c r="B173" s="128">
        <f t="shared" si="37"/>
        <v>138</v>
      </c>
      <c r="C173" s="687">
        <f t="shared" si="32"/>
        <v>227.36</v>
      </c>
      <c r="D173" s="519">
        <v>44950</v>
      </c>
      <c r="E173" s="24" t="s">
        <v>519</v>
      </c>
      <c r="F173" s="168" t="s">
        <v>476</v>
      </c>
      <c r="G173" s="520" t="s">
        <v>457</v>
      </c>
      <c r="H173" s="24" t="s">
        <v>477</v>
      </c>
      <c r="I173" s="602">
        <v>227.36</v>
      </c>
      <c r="J173" s="587"/>
      <c r="K173" s="587"/>
      <c r="L173" s="587"/>
      <c r="M173" s="588">
        <f t="shared" si="33"/>
        <v>227.36</v>
      </c>
      <c r="N173" s="620"/>
      <c r="O173" s="364" t="s">
        <v>306</v>
      </c>
    </row>
    <row r="174" spans="2:15" hidden="1">
      <c r="B174" s="177">
        <f t="shared" si="37"/>
        <v>139</v>
      </c>
      <c r="C174" s="686">
        <f t="shared" si="32"/>
        <v>614.03</v>
      </c>
      <c r="D174" s="523">
        <v>44957</v>
      </c>
      <c r="E174" s="525" t="s">
        <v>507</v>
      </c>
      <c r="F174" s="161" t="s">
        <v>508</v>
      </c>
      <c r="G174" s="524" t="s">
        <v>457</v>
      </c>
      <c r="H174" s="525" t="s">
        <v>509</v>
      </c>
      <c r="I174" s="599">
        <v>614.03</v>
      </c>
      <c r="J174" s="590"/>
      <c r="K174" s="590"/>
      <c r="L174" s="590"/>
      <c r="M174" s="591">
        <f t="shared" si="33"/>
        <v>614.03</v>
      </c>
      <c r="N174" s="619"/>
      <c r="O174" s="105" t="s">
        <v>306</v>
      </c>
    </row>
    <row r="175" spans="2:15" s="45" customFormat="1" hidden="1">
      <c r="B175" s="732">
        <f>B174+1</f>
        <v>140</v>
      </c>
      <c r="C175" s="682">
        <f>M175+M176+N175+N176</f>
        <v>110.96</v>
      </c>
      <c r="D175" s="519">
        <v>44966</v>
      </c>
      <c r="E175" s="574" t="s">
        <v>519</v>
      </c>
      <c r="F175" s="363" t="s">
        <v>520</v>
      </c>
      <c r="G175" s="520" t="s">
        <v>457</v>
      </c>
      <c r="H175" s="24" t="s">
        <v>674</v>
      </c>
      <c r="I175" s="593">
        <v>57.27</v>
      </c>
      <c r="J175" s="598"/>
      <c r="K175" s="593"/>
      <c r="L175" s="587"/>
      <c r="M175" s="588">
        <f t="shared" ref="M175:M176" si="47">SUM(I175:L175)</f>
        <v>57.27</v>
      </c>
      <c r="N175" s="620"/>
      <c r="O175" s="364" t="s">
        <v>306</v>
      </c>
    </row>
    <row r="176" spans="2:15" s="45" customFormat="1" hidden="1">
      <c r="B176" s="732"/>
      <c r="C176" s="682"/>
      <c r="D176" s="519"/>
      <c r="E176" s="574"/>
      <c r="F176" s="365" t="s">
        <v>520</v>
      </c>
      <c r="G176" s="520"/>
      <c r="H176" s="24"/>
      <c r="I176" s="593">
        <v>53.69</v>
      </c>
      <c r="J176" s="598"/>
      <c r="K176" s="593"/>
      <c r="L176" s="587"/>
      <c r="M176" s="588">
        <f t="shared" si="47"/>
        <v>53.69</v>
      </c>
      <c r="N176" s="620"/>
      <c r="O176" s="364" t="s">
        <v>521</v>
      </c>
    </row>
    <row r="177" spans="2:15" s="45" customFormat="1" hidden="1">
      <c r="B177" s="177">
        <f>B175+1</f>
        <v>141</v>
      </c>
      <c r="C177" s="686">
        <f t="shared" ref="C177" si="48">SUM(M177:N177)</f>
        <v>1.99</v>
      </c>
      <c r="D177" s="523">
        <v>44968</v>
      </c>
      <c r="E177" s="552" t="s">
        <v>475</v>
      </c>
      <c r="F177" s="631" t="s">
        <v>582</v>
      </c>
      <c r="G177" s="524" t="s">
        <v>457</v>
      </c>
      <c r="H177" s="525" t="s">
        <v>256</v>
      </c>
      <c r="I177" s="632">
        <v>1.99</v>
      </c>
      <c r="J177" s="592"/>
      <c r="K177" s="589"/>
      <c r="L177" s="590"/>
      <c r="M177" s="591">
        <f t="shared" ref="M177" si="49">SUM(I177:L177)</f>
        <v>1.99</v>
      </c>
      <c r="N177" s="619"/>
      <c r="O177" s="179" t="s">
        <v>307</v>
      </c>
    </row>
    <row r="178" spans="2:15" hidden="1">
      <c r="B178" s="128">
        <f>B177+1</f>
        <v>142</v>
      </c>
      <c r="C178" s="687">
        <f t="shared" si="32"/>
        <v>107.74</v>
      </c>
      <c r="D178" s="519">
        <v>44949</v>
      </c>
      <c r="E178" s="24" t="s">
        <v>519</v>
      </c>
      <c r="F178" s="168" t="s">
        <v>465</v>
      </c>
      <c r="G178" s="520" t="s">
        <v>457</v>
      </c>
      <c r="H178" s="626" t="s">
        <v>466</v>
      </c>
      <c r="I178" s="602"/>
      <c r="J178" s="587">
        <v>102.61</v>
      </c>
      <c r="K178" s="587"/>
      <c r="L178" s="587"/>
      <c r="M178" s="588">
        <f t="shared" si="33"/>
        <v>102.61</v>
      </c>
      <c r="N178" s="620">
        <v>5.13</v>
      </c>
      <c r="O178" s="70" t="s">
        <v>310</v>
      </c>
    </row>
    <row r="179" spans="2:15" hidden="1">
      <c r="B179" s="177">
        <f t="shared" si="37"/>
        <v>143</v>
      </c>
      <c r="C179" s="686">
        <f t="shared" si="32"/>
        <v>11.27</v>
      </c>
      <c r="D179" s="523">
        <v>44978</v>
      </c>
      <c r="E179" s="525" t="s">
        <v>469</v>
      </c>
      <c r="F179" s="161" t="s">
        <v>675</v>
      </c>
      <c r="G179" s="524" t="s">
        <v>457</v>
      </c>
      <c r="H179" s="581" t="s">
        <v>492</v>
      </c>
      <c r="I179" s="599"/>
      <c r="J179" s="590">
        <v>9.39</v>
      </c>
      <c r="K179" s="590"/>
      <c r="L179" s="590"/>
      <c r="M179" s="591">
        <f t="shared" si="33"/>
        <v>9.39</v>
      </c>
      <c r="N179" s="619">
        <v>1.88</v>
      </c>
      <c r="O179" s="105" t="s">
        <v>317</v>
      </c>
    </row>
    <row r="180" spans="2:15" hidden="1">
      <c r="B180" s="128">
        <f t="shared" si="37"/>
        <v>144</v>
      </c>
      <c r="C180" s="687">
        <f t="shared" si="32"/>
        <v>408.77</v>
      </c>
      <c r="D180" s="519">
        <v>44978</v>
      </c>
      <c r="E180" s="24" t="s">
        <v>469</v>
      </c>
      <c r="F180" s="168" t="s">
        <v>676</v>
      </c>
      <c r="G180" s="520" t="s">
        <v>457</v>
      </c>
      <c r="H180" s="626" t="s">
        <v>677</v>
      </c>
      <c r="I180" s="602"/>
      <c r="J180" s="587">
        <v>408.77</v>
      </c>
      <c r="K180" s="587"/>
      <c r="L180" s="587"/>
      <c r="M180" s="588">
        <f t="shared" si="33"/>
        <v>408.77</v>
      </c>
      <c r="N180" s="620"/>
      <c r="O180" s="70" t="s">
        <v>345</v>
      </c>
    </row>
    <row r="181" spans="2:15" hidden="1">
      <c r="B181" s="177">
        <f t="shared" si="37"/>
        <v>145</v>
      </c>
      <c r="C181" s="686">
        <f ca="1">SUM(M181:N181)</f>
        <v>479.89</v>
      </c>
      <c r="D181" s="523">
        <v>44978</v>
      </c>
      <c r="E181" s="525" t="s">
        <v>254</v>
      </c>
      <c r="F181" s="161" t="s">
        <v>680</v>
      </c>
      <c r="G181" s="524" t="s">
        <v>457</v>
      </c>
      <c r="H181" s="581" t="s">
        <v>466</v>
      </c>
      <c r="I181" s="599"/>
      <c r="J181" s="590">
        <v>457.13</v>
      </c>
      <c r="K181" s="590"/>
      <c r="L181" s="599"/>
      <c r="M181" s="591">
        <f ca="1">SUM(I181:N181)</f>
        <v>479.89</v>
      </c>
      <c r="N181" s="590">
        <v>22.76</v>
      </c>
      <c r="O181" s="105" t="s">
        <v>345</v>
      </c>
    </row>
    <row r="182" spans="2:15" hidden="1">
      <c r="B182" s="128">
        <f>B181+1</f>
        <v>146</v>
      </c>
      <c r="C182" s="687">
        <f t="shared" si="32"/>
        <v>614.03</v>
      </c>
      <c r="D182" s="519">
        <v>44985</v>
      </c>
      <c r="E182" s="24" t="s">
        <v>507</v>
      </c>
      <c r="F182" s="168" t="s">
        <v>508</v>
      </c>
      <c r="G182" s="520" t="s">
        <v>457</v>
      </c>
      <c r="H182" s="24" t="s">
        <v>509</v>
      </c>
      <c r="I182" s="602">
        <v>614.03</v>
      </c>
      <c r="J182" s="587"/>
      <c r="K182" s="587"/>
      <c r="L182" s="587"/>
      <c r="M182" s="588">
        <f t="shared" si="33"/>
        <v>614.03</v>
      </c>
      <c r="N182" s="620"/>
      <c r="O182" s="70" t="s">
        <v>306</v>
      </c>
    </row>
    <row r="183" spans="2:15" s="45" customFormat="1" hidden="1">
      <c r="B183" s="729">
        <f>B182+1</f>
        <v>147</v>
      </c>
      <c r="C183" s="688">
        <f>M183+M184+N183+N184</f>
        <v>110.96</v>
      </c>
      <c r="D183" s="633">
        <v>44994</v>
      </c>
      <c r="E183" s="677" t="s">
        <v>519</v>
      </c>
      <c r="F183" s="634" t="s">
        <v>520</v>
      </c>
      <c r="G183" s="635" t="s">
        <v>457</v>
      </c>
      <c r="H183" s="636" t="s">
        <v>674</v>
      </c>
      <c r="I183" s="637">
        <v>57.27</v>
      </c>
      <c r="J183" s="638"/>
      <c r="K183" s="637"/>
      <c r="L183" s="639"/>
      <c r="M183" s="640">
        <f t="shared" ref="M183:M184" si="50">SUM(I183:L183)</f>
        <v>57.27</v>
      </c>
      <c r="N183" s="641"/>
      <c r="O183" s="642" t="s">
        <v>306</v>
      </c>
    </row>
    <row r="184" spans="2:15" s="45" customFormat="1" hidden="1">
      <c r="B184" s="729"/>
      <c r="C184" s="688"/>
      <c r="D184" s="633"/>
      <c r="E184" s="677"/>
      <c r="F184" s="643" t="s">
        <v>520</v>
      </c>
      <c r="G184" s="635"/>
      <c r="H184" s="636"/>
      <c r="I184" s="637">
        <v>53.69</v>
      </c>
      <c r="J184" s="638"/>
      <c r="K184" s="637"/>
      <c r="L184" s="639"/>
      <c r="M184" s="640">
        <f t="shared" si="50"/>
        <v>53.69</v>
      </c>
      <c r="N184" s="641"/>
      <c r="O184" s="642" t="s">
        <v>521</v>
      </c>
    </row>
    <row r="185" spans="2:15" hidden="1">
      <c r="B185" s="128">
        <f>B182+1</f>
        <v>147</v>
      </c>
      <c r="C185" s="687">
        <f t="shared" si="32"/>
        <v>1.99</v>
      </c>
      <c r="D185" s="519">
        <v>44996</v>
      </c>
      <c r="E185" s="24" t="s">
        <v>475</v>
      </c>
      <c r="F185" s="168" t="s">
        <v>582</v>
      </c>
      <c r="G185" s="520" t="s">
        <v>457</v>
      </c>
      <c r="H185" s="24" t="s">
        <v>256</v>
      </c>
      <c r="I185" s="602">
        <v>1.99</v>
      </c>
      <c r="J185" s="587"/>
      <c r="K185" s="587"/>
      <c r="L185" s="587"/>
      <c r="M185" s="588">
        <f t="shared" si="33"/>
        <v>1.99</v>
      </c>
      <c r="N185" s="620"/>
      <c r="O185" s="70" t="s">
        <v>307</v>
      </c>
    </row>
    <row r="186" spans="2:15">
      <c r="B186" s="177">
        <f t="shared" si="37"/>
        <v>148</v>
      </c>
      <c r="C186" s="689">
        <f t="shared" si="32"/>
        <v>57.6</v>
      </c>
      <c r="D186" s="633">
        <v>44996</v>
      </c>
      <c r="E186" s="636" t="s">
        <v>254</v>
      </c>
      <c r="F186" s="646" t="s">
        <v>684</v>
      </c>
      <c r="G186" s="635" t="s">
        <v>457</v>
      </c>
      <c r="H186" s="636" t="s">
        <v>685</v>
      </c>
      <c r="I186" s="647">
        <v>48</v>
      </c>
      <c r="J186" s="639"/>
      <c r="K186" s="639"/>
      <c r="L186" s="639"/>
      <c r="M186" s="640">
        <f t="shared" si="33"/>
        <v>48</v>
      </c>
      <c r="N186" s="641">
        <v>9.6</v>
      </c>
      <c r="O186" s="644" t="s">
        <v>322</v>
      </c>
    </row>
    <row r="187" spans="2:15" hidden="1">
      <c r="B187" s="128">
        <f>B186+1</f>
        <v>149</v>
      </c>
      <c r="C187" s="687">
        <f t="shared" si="32"/>
        <v>110</v>
      </c>
      <c r="D187" s="519">
        <v>45002</v>
      </c>
      <c r="E187" s="24" t="s">
        <v>469</v>
      </c>
      <c r="F187" s="575" t="s">
        <v>591</v>
      </c>
      <c r="G187" s="520" t="s">
        <v>457</v>
      </c>
      <c r="H187" s="24" t="s">
        <v>530</v>
      </c>
      <c r="I187" s="602"/>
      <c r="J187" s="587">
        <v>110</v>
      </c>
      <c r="K187" s="587"/>
      <c r="L187" s="587"/>
      <c r="M187" s="588">
        <f t="shared" si="33"/>
        <v>110</v>
      </c>
      <c r="N187" s="620"/>
      <c r="O187" s="70" t="s">
        <v>312</v>
      </c>
    </row>
    <row r="188" spans="2:15" hidden="1">
      <c r="B188" s="729">
        <f t="shared" si="37"/>
        <v>150</v>
      </c>
      <c r="C188" s="688">
        <f>M188+M189</f>
        <v>689.96</v>
      </c>
      <c r="D188" s="633">
        <v>45002</v>
      </c>
      <c r="E188" s="636" t="s">
        <v>469</v>
      </c>
      <c r="F188" s="646" t="s">
        <v>693</v>
      </c>
      <c r="G188" s="635" t="s">
        <v>457</v>
      </c>
      <c r="H188" s="636" t="s">
        <v>509</v>
      </c>
      <c r="I188" s="647">
        <f>85.56+127.49</f>
        <v>213.05</v>
      </c>
      <c r="J188" s="639"/>
      <c r="K188" s="639"/>
      <c r="L188" s="639"/>
      <c r="M188" s="640">
        <f t="shared" si="33"/>
        <v>213.05</v>
      </c>
      <c r="N188" s="641"/>
      <c r="O188" s="644" t="s">
        <v>307</v>
      </c>
    </row>
    <row r="189" spans="2:15" hidden="1">
      <c r="B189" s="729"/>
      <c r="C189" s="688"/>
      <c r="D189" s="633"/>
      <c r="E189" s="636"/>
      <c r="F189" s="646" t="s">
        <v>694</v>
      </c>
      <c r="G189" s="635"/>
      <c r="H189" s="636"/>
      <c r="I189" s="647">
        <v>476.91</v>
      </c>
      <c r="J189" s="639"/>
      <c r="K189" s="639"/>
      <c r="L189" s="639"/>
      <c r="M189" s="640">
        <f t="shared" si="33"/>
        <v>476.91</v>
      </c>
      <c r="N189" s="641"/>
      <c r="O189" s="644" t="s">
        <v>306</v>
      </c>
    </row>
    <row r="190" spans="2:15" hidden="1">
      <c r="B190" s="128">
        <f>B188+1</f>
        <v>151</v>
      </c>
      <c r="C190" s="687">
        <f t="shared" si="32"/>
        <v>2160</v>
      </c>
      <c r="D190" s="519">
        <v>45002</v>
      </c>
      <c r="E190" s="24" t="s">
        <v>469</v>
      </c>
      <c r="F190" s="575" t="s">
        <v>695</v>
      </c>
      <c r="G190" s="520" t="s">
        <v>457</v>
      </c>
      <c r="H190" s="24" t="s">
        <v>696</v>
      </c>
      <c r="I190" s="602"/>
      <c r="J190" s="587">
        <v>1800</v>
      </c>
      <c r="K190" s="587"/>
      <c r="L190" s="587"/>
      <c r="M190" s="588">
        <f t="shared" si="33"/>
        <v>1800</v>
      </c>
      <c r="N190" s="620">
        <f>M190*20%</f>
        <v>360</v>
      </c>
      <c r="O190" s="70" t="s">
        <v>318</v>
      </c>
    </row>
    <row r="191" spans="2:15" hidden="1">
      <c r="B191" s="648">
        <f t="shared" si="37"/>
        <v>152</v>
      </c>
      <c r="C191" s="689">
        <f t="shared" si="32"/>
        <v>354</v>
      </c>
      <c r="D191" s="633">
        <v>45002</v>
      </c>
      <c r="E191" s="636" t="s">
        <v>469</v>
      </c>
      <c r="F191" s="646" t="s">
        <v>697</v>
      </c>
      <c r="G191" s="635" t="s">
        <v>457</v>
      </c>
      <c r="H191" s="636" t="s">
        <v>698</v>
      </c>
      <c r="I191" s="647"/>
      <c r="J191" s="639">
        <v>295</v>
      </c>
      <c r="K191" s="639"/>
      <c r="L191" s="639"/>
      <c r="M191" s="640">
        <f t="shared" si="33"/>
        <v>295</v>
      </c>
      <c r="N191" s="641">
        <f>M191*20%</f>
        <v>59</v>
      </c>
      <c r="O191" s="644" t="s">
        <v>345</v>
      </c>
    </row>
    <row r="192" spans="2:15" hidden="1">
      <c r="B192" s="128">
        <f>B191+1</f>
        <v>153</v>
      </c>
      <c r="C192" s="687">
        <f t="shared" si="32"/>
        <v>158.69</v>
      </c>
      <c r="D192" s="519">
        <v>45002</v>
      </c>
      <c r="E192" s="24" t="s">
        <v>469</v>
      </c>
      <c r="F192" s="168" t="s">
        <v>699</v>
      </c>
      <c r="G192" s="520" t="s">
        <v>457</v>
      </c>
      <c r="H192" s="24" t="s">
        <v>700</v>
      </c>
      <c r="I192" s="602"/>
      <c r="J192" s="587">
        <v>158.69</v>
      </c>
      <c r="K192" s="587"/>
      <c r="L192" s="587"/>
      <c r="M192" s="588">
        <f t="shared" si="33"/>
        <v>158.69</v>
      </c>
      <c r="N192" s="620"/>
      <c r="O192" s="70" t="s">
        <v>317</v>
      </c>
    </row>
    <row r="193" spans="2:15" hidden="1">
      <c r="B193" s="729">
        <f t="shared" si="37"/>
        <v>154</v>
      </c>
      <c r="C193" s="688">
        <f>M193+M194</f>
        <v>527</v>
      </c>
      <c r="D193" s="633">
        <v>45002</v>
      </c>
      <c r="E193" s="636" t="s">
        <v>469</v>
      </c>
      <c r="F193" s="646" t="s">
        <v>701</v>
      </c>
      <c r="G193" s="635" t="s">
        <v>457</v>
      </c>
      <c r="H193" s="636" t="s">
        <v>630</v>
      </c>
      <c r="I193" s="647">
        <v>187</v>
      </c>
      <c r="J193" s="639"/>
      <c r="K193" s="639"/>
      <c r="L193" s="639"/>
      <c r="M193" s="640">
        <f t="shared" ref="M193:M194" si="51">SUM(I193:L193)</f>
        <v>187</v>
      </c>
      <c r="N193" s="641"/>
      <c r="O193" s="644" t="s">
        <v>315</v>
      </c>
    </row>
    <row r="194" spans="2:15" hidden="1">
      <c r="B194" s="729"/>
      <c r="C194" s="688"/>
      <c r="D194" s="633"/>
      <c r="E194" s="636"/>
      <c r="F194" s="646" t="s">
        <v>10</v>
      </c>
      <c r="G194" s="635"/>
      <c r="H194" s="636"/>
      <c r="I194" s="647"/>
      <c r="J194" s="639">
        <f>20*17</f>
        <v>340</v>
      </c>
      <c r="K194" s="639"/>
      <c r="L194" s="639"/>
      <c r="M194" s="640">
        <f t="shared" si="51"/>
        <v>340</v>
      </c>
      <c r="N194" s="641"/>
      <c r="O194" s="644" t="s">
        <v>345</v>
      </c>
    </row>
    <row r="195" spans="2:15" hidden="1">
      <c r="B195" s="128">
        <f>B193+1</f>
        <v>155</v>
      </c>
      <c r="C195" s="690">
        <f t="shared" ref="C195:C203" si="52">SUM(M195:N195)</f>
        <v>-354.79</v>
      </c>
      <c r="D195" s="519">
        <v>45002</v>
      </c>
      <c r="E195" s="24" t="s">
        <v>519</v>
      </c>
      <c r="F195" s="575" t="s">
        <v>465</v>
      </c>
      <c r="G195" s="520" t="s">
        <v>457</v>
      </c>
      <c r="H195" s="24" t="s">
        <v>466</v>
      </c>
      <c r="I195" s="602"/>
      <c r="J195" s="587">
        <v>-337.9</v>
      </c>
      <c r="K195" s="587"/>
      <c r="L195" s="587"/>
      <c r="M195" s="588">
        <f t="shared" ref="M195:M203" si="53">SUM(I195:L195)</f>
        <v>-337.9</v>
      </c>
      <c r="N195" s="588">
        <v>-16.89</v>
      </c>
      <c r="O195" s="70" t="s">
        <v>310</v>
      </c>
    </row>
    <row r="196" spans="2:15" hidden="1">
      <c r="B196" s="128">
        <f t="shared" si="37"/>
        <v>156</v>
      </c>
      <c r="C196" s="687">
        <f t="shared" si="52"/>
        <v>61.46</v>
      </c>
      <c r="D196" s="519">
        <v>45003</v>
      </c>
      <c r="E196" s="24" t="s">
        <v>254</v>
      </c>
      <c r="F196" s="575" t="s">
        <v>704</v>
      </c>
      <c r="G196" s="520" t="s">
        <v>457</v>
      </c>
      <c r="H196" s="24" t="s">
        <v>692</v>
      </c>
      <c r="I196" s="602"/>
      <c r="J196" s="587">
        <v>61.46</v>
      </c>
      <c r="K196" s="587"/>
      <c r="L196" s="587"/>
      <c r="M196" s="588">
        <f t="shared" si="53"/>
        <v>61.46</v>
      </c>
      <c r="N196" s="620"/>
      <c r="O196" s="70" t="s">
        <v>312</v>
      </c>
    </row>
    <row r="197" spans="2:15" hidden="1">
      <c r="B197" s="128">
        <f t="shared" si="37"/>
        <v>157</v>
      </c>
      <c r="C197" s="687">
        <f t="shared" ref="C197:C199" si="54">SUM(M197:N197)</f>
        <v>141.69</v>
      </c>
      <c r="D197" s="519">
        <v>45004</v>
      </c>
      <c r="E197" s="24" t="s">
        <v>254</v>
      </c>
      <c r="F197" s="575" t="s">
        <v>703</v>
      </c>
      <c r="G197" s="520" t="s">
        <v>457</v>
      </c>
      <c r="H197" s="24" t="s">
        <v>702</v>
      </c>
      <c r="I197" s="602"/>
      <c r="J197" s="587">
        <v>118.07</v>
      </c>
      <c r="K197" s="587"/>
      <c r="L197" s="587"/>
      <c r="M197" s="588">
        <f t="shared" ref="M197:M199" si="55">SUM(I197:L197)</f>
        <v>118.07</v>
      </c>
      <c r="N197" s="620">
        <v>23.62</v>
      </c>
      <c r="O197" s="70" t="s">
        <v>312</v>
      </c>
    </row>
    <row r="198" spans="2:15" hidden="1">
      <c r="B198" s="128">
        <f>B197+1</f>
        <v>158</v>
      </c>
      <c r="C198" s="690">
        <f t="shared" si="54"/>
        <v>-61.46</v>
      </c>
      <c r="D198" s="519">
        <v>45003</v>
      </c>
      <c r="E198" s="24" t="s">
        <v>640</v>
      </c>
      <c r="F198" s="575" t="s">
        <v>704</v>
      </c>
      <c r="G198" s="520" t="s">
        <v>457</v>
      </c>
      <c r="H198" s="24" t="s">
        <v>692</v>
      </c>
      <c r="I198" s="602"/>
      <c r="J198" s="587">
        <v>-61.46</v>
      </c>
      <c r="K198" s="587"/>
      <c r="L198" s="587"/>
      <c r="M198" s="588">
        <f t="shared" si="55"/>
        <v>-61.46</v>
      </c>
      <c r="N198" s="620"/>
      <c r="O198" s="70" t="s">
        <v>312</v>
      </c>
    </row>
    <row r="199" spans="2:15" hidden="1">
      <c r="B199" s="128">
        <f t="shared" si="37"/>
        <v>159</v>
      </c>
      <c r="C199" s="687">
        <f t="shared" si="54"/>
        <v>614.03</v>
      </c>
      <c r="D199" s="519">
        <v>45016</v>
      </c>
      <c r="E199" s="24" t="s">
        <v>507</v>
      </c>
      <c r="F199" s="168" t="s">
        <v>508</v>
      </c>
      <c r="G199" s="520" t="s">
        <v>457</v>
      </c>
      <c r="H199" s="24" t="s">
        <v>509</v>
      </c>
      <c r="I199" s="602">
        <v>614.03</v>
      </c>
      <c r="J199" s="587"/>
      <c r="K199" s="587"/>
      <c r="L199" s="587"/>
      <c r="M199" s="588">
        <f t="shared" si="55"/>
        <v>614.03</v>
      </c>
      <c r="N199" s="620"/>
      <c r="O199" s="70" t="s">
        <v>306</v>
      </c>
    </row>
    <row r="200" spans="2:15" s="45" customFormat="1" hidden="1">
      <c r="B200" s="729">
        <f>B199+1</f>
        <v>160</v>
      </c>
      <c r="C200" s="688">
        <f>M200+M201+N200+N201</f>
        <v>110.96</v>
      </c>
      <c r="D200" s="633">
        <v>45016</v>
      </c>
      <c r="E200" s="677" t="s">
        <v>519</v>
      </c>
      <c r="F200" s="634" t="s">
        <v>520</v>
      </c>
      <c r="G200" s="635" t="s">
        <v>457</v>
      </c>
      <c r="H200" s="636" t="s">
        <v>674</v>
      </c>
      <c r="I200" s="637">
        <v>57.27</v>
      </c>
      <c r="J200" s="638"/>
      <c r="K200" s="637"/>
      <c r="L200" s="639"/>
      <c r="M200" s="640">
        <f t="shared" ref="M200:M201" si="56">SUM(I200:L200)</f>
        <v>57.27</v>
      </c>
      <c r="N200" s="641"/>
      <c r="O200" s="642" t="s">
        <v>306</v>
      </c>
    </row>
    <row r="201" spans="2:15" s="45" customFormat="1" hidden="1">
      <c r="B201" s="729"/>
      <c r="C201" s="688"/>
      <c r="D201" s="633"/>
      <c r="E201" s="677"/>
      <c r="F201" s="643" t="s">
        <v>520</v>
      </c>
      <c r="G201" s="635"/>
      <c r="H201" s="636"/>
      <c r="I201" s="637">
        <v>53.69</v>
      </c>
      <c r="J201" s="638"/>
      <c r="K201" s="637"/>
      <c r="L201" s="639"/>
      <c r="M201" s="640">
        <f t="shared" si="56"/>
        <v>53.69</v>
      </c>
      <c r="N201" s="641"/>
      <c r="O201" s="642" t="s">
        <v>521</v>
      </c>
    </row>
    <row r="202" spans="2:15" hidden="1">
      <c r="B202" s="128">
        <f>B200+1</f>
        <v>161</v>
      </c>
      <c r="C202" s="687">
        <f t="shared" ref="C202" si="57">SUM(M202:N202)</f>
        <v>18</v>
      </c>
      <c r="D202" s="519">
        <v>45016</v>
      </c>
      <c r="E202" s="24" t="s">
        <v>475</v>
      </c>
      <c r="F202" s="168" t="s">
        <v>582</v>
      </c>
      <c r="G202" s="520" t="s">
        <v>457</v>
      </c>
      <c r="H202" s="24" t="s">
        <v>581</v>
      </c>
      <c r="I202" s="602">
        <v>18</v>
      </c>
      <c r="J202" s="587"/>
      <c r="K202" s="587"/>
      <c r="L202" s="587"/>
      <c r="M202" s="588">
        <f t="shared" ref="M202" si="58">SUM(I202:L202)</f>
        <v>18</v>
      </c>
      <c r="N202" s="620"/>
      <c r="O202" s="70" t="s">
        <v>307</v>
      </c>
    </row>
    <row r="203" spans="2:15" hidden="1">
      <c r="B203" s="128">
        <f t="shared" si="37"/>
        <v>162</v>
      </c>
      <c r="C203" s="687">
        <f t="shared" si="52"/>
        <v>0</v>
      </c>
      <c r="D203" s="519"/>
      <c r="E203" s="31"/>
      <c r="F203" s="140"/>
      <c r="G203" s="355"/>
      <c r="H203" s="24"/>
      <c r="I203" s="593"/>
      <c r="J203" s="593"/>
      <c r="K203" s="587"/>
      <c r="L203" s="587"/>
      <c r="M203" s="588">
        <f t="shared" si="53"/>
        <v>0</v>
      </c>
      <c r="N203" s="620"/>
      <c r="O203" s="70"/>
    </row>
    <row r="204" spans="2:15" ht="15.75" hidden="1" thickBot="1">
      <c r="C204" s="691">
        <f ca="1">SUM(C2:C203)</f>
        <v>73640.61</v>
      </c>
      <c r="D204" s="101"/>
      <c r="E204" s="114"/>
      <c r="F204" s="114" t="s">
        <v>7</v>
      </c>
      <c r="G204" s="356"/>
      <c r="H204" s="100"/>
      <c r="I204" s="100">
        <f>SUM(I1:I203)</f>
        <v>14179.86</v>
      </c>
      <c r="J204" s="100">
        <f>SUM(J1:J203)</f>
        <v>53972.65</v>
      </c>
      <c r="K204" s="100">
        <f>SUM(K1:K203)</f>
        <v>0</v>
      </c>
      <c r="L204" s="100">
        <f>SUM(L1:L203)</f>
        <v>523.98</v>
      </c>
      <c r="M204" s="100">
        <f>SUM(I204:L204)</f>
        <v>68676.490000000005</v>
      </c>
      <c r="N204" s="100">
        <f>SUM(N1:N203)</f>
        <v>4964.12</v>
      </c>
      <c r="O204" s="38"/>
    </row>
    <row r="205" spans="2:15">
      <c r="C205" s="38"/>
      <c r="D205" s="102"/>
      <c r="E205" s="115"/>
      <c r="F205" s="115"/>
      <c r="G205" s="357"/>
      <c r="H205" s="103"/>
      <c r="I205" s="38"/>
      <c r="J205" s="38"/>
      <c r="K205" s="103"/>
      <c r="L205" s="103"/>
      <c r="M205" s="38">
        <f>M204+N204</f>
        <v>73640.61</v>
      </c>
      <c r="N205" s="38" t="e">
        <f>M204-#REF!</f>
        <v>#REF!</v>
      </c>
    </row>
    <row r="206" spans="2:15">
      <c r="C206" s="38"/>
      <c r="D206" s="102"/>
      <c r="E206" s="115"/>
      <c r="F206" s="115"/>
      <c r="G206" s="357"/>
      <c r="H206" s="38"/>
      <c r="I206" s="38"/>
      <c r="J206" s="38"/>
      <c r="K206" s="38"/>
      <c r="L206" s="38"/>
      <c r="M206" s="38">
        <f ca="1">C204-M205</f>
        <v>0</v>
      </c>
      <c r="N206" s="38">
        <f ca="1">N205-M206</f>
        <v>11042.13</v>
      </c>
    </row>
    <row r="207" spans="2:15">
      <c r="H207" s="46"/>
      <c r="I207" s="111"/>
    </row>
    <row r="208" spans="2:15">
      <c r="H208" s="46"/>
    </row>
    <row r="209" spans="8:8">
      <c r="H209" s="104"/>
    </row>
    <row r="210" spans="8:8">
      <c r="H210" s="104"/>
    </row>
    <row r="211" spans="8:8">
      <c r="H211" s="104"/>
    </row>
  </sheetData>
  <sheetProtection selectLockedCells="1"/>
  <mergeCells count="20">
    <mergeCell ref="B83:B84"/>
    <mergeCell ref="B73:B74"/>
    <mergeCell ref="B69:B70"/>
    <mergeCell ref="B36:B37"/>
    <mergeCell ref="B17:B26"/>
    <mergeCell ref="B122:B123"/>
    <mergeCell ref="B119:B120"/>
    <mergeCell ref="B111:B112"/>
    <mergeCell ref="B102:B103"/>
    <mergeCell ref="B94:B95"/>
    <mergeCell ref="B169:B170"/>
    <mergeCell ref="B155:B156"/>
    <mergeCell ref="B152:B153"/>
    <mergeCell ref="B140:B142"/>
    <mergeCell ref="B129:B130"/>
    <mergeCell ref="B200:B201"/>
    <mergeCell ref="B193:B194"/>
    <mergeCell ref="B188:B189"/>
    <mergeCell ref="B183:B184"/>
    <mergeCell ref="B175:B176"/>
  </mergeCells>
  <hyperlinks>
    <hyperlink ref="F7" r:id="rId1" xr:uid="{2897534F-B0FB-4066-A99B-5B05C6EC5C16}"/>
    <hyperlink ref="F6" r:id="rId2" xr:uid="{DE9FF80E-C857-478D-BFE9-EE9A33DA9340}"/>
    <hyperlink ref="F4" r:id="rId3" xr:uid="{507DEFD3-2A67-4B1D-9F63-FA2865470148}"/>
    <hyperlink ref="F11" r:id="rId4" xr:uid="{79EF9A1C-DDF0-4E86-9019-8962F91289D0}"/>
    <hyperlink ref="F12" r:id="rId5" display="Ecological information" xr:uid="{5D856C1E-2AE6-4890-B919-B8C5A8DC87D4}"/>
    <hyperlink ref="F13" r:id="rId6" xr:uid="{EFD33D30-4DE4-431D-99A3-AA8532AB7C5A}"/>
    <hyperlink ref="F14" r:id="rId7" xr:uid="{96728CFE-05E9-451B-A4E8-FBDCAD68DCA3}"/>
    <hyperlink ref="F23" r:id="rId8" xr:uid="{5F18BB15-28A0-44A9-AAFB-B06D2358F9C6}"/>
    <hyperlink ref="F26" r:id="rId9" xr:uid="{316BF57E-2A3A-4170-9A8D-80096201B2B7}"/>
    <hyperlink ref="F24" r:id="rId10" xr:uid="{130F5D56-847E-4ED5-81E8-673EE5822563}"/>
    <hyperlink ref="F17" r:id="rId11" xr:uid="{6D03FC98-922F-49BB-9306-91F4C69AA37C}"/>
    <hyperlink ref="F18" r:id="rId12" xr:uid="{184A9F71-5946-465D-B37B-01CAFE91821F}"/>
    <hyperlink ref="F19" r:id="rId13" xr:uid="{C7A338B1-7ECB-466F-81AD-A40A43690900}"/>
    <hyperlink ref="F20" r:id="rId14" xr:uid="{22985FC6-6BEF-415F-B0AE-1768AD2CA1B1}"/>
    <hyperlink ref="F21" r:id="rId15" xr:uid="{7A28672D-CD48-48E0-B3E1-3D8FD2B69C78}"/>
    <hyperlink ref="F22" r:id="rId16" xr:uid="{333ED374-48ED-4D32-B8EC-7531A1E75285}"/>
    <hyperlink ref="F25" r:id="rId17" xr:uid="{03C610FC-0351-4F8D-967F-836BB0532322}"/>
    <hyperlink ref="F27" r:id="rId18" xr:uid="{37123434-E653-4107-BCAA-3DB1BAA05B30}"/>
    <hyperlink ref="F28" r:id="rId19" xr:uid="{892AF004-C038-459A-A0D7-F398E80B2131}"/>
    <hyperlink ref="F29" r:id="rId20" xr:uid="{9CB944CA-F479-4878-9C1A-FB897946DD36}"/>
    <hyperlink ref="F31" r:id="rId21" xr:uid="{11207B50-47D3-4255-AB80-82DE32AED332}"/>
    <hyperlink ref="F32" r:id="rId22" xr:uid="{FF79A940-8E61-4248-97DC-D23DFE4D2AD5}"/>
    <hyperlink ref="F33" r:id="rId23" xr:uid="{F03F29EB-FAC4-4207-B60D-47DFA9EEB7B2}"/>
    <hyperlink ref="H33" r:id="rId24" xr:uid="{6CCBE373-C288-4AB5-B7FA-7FFB5BF1972F}"/>
    <hyperlink ref="F34" r:id="rId25" xr:uid="{07DF665C-7510-429C-99D7-739543F58898}"/>
    <hyperlink ref="F35" r:id="rId26" xr:uid="{E1815533-F5FF-43D4-BCF6-38EDC0E59AC0}"/>
    <hyperlink ref="F39" r:id="rId27" xr:uid="{610E5DB3-D98A-4857-A6D9-D7B731F74915}"/>
    <hyperlink ref="F40" r:id="rId28" xr:uid="{F90C9CAC-AA37-4491-847C-BDFC2C3D8621}"/>
    <hyperlink ref="F41" r:id="rId29" xr:uid="{9E5571BE-27E2-48BD-99B8-E3F215D99665}"/>
    <hyperlink ref="F43" r:id="rId30" xr:uid="{ED86322B-2953-4335-B9D3-2E8080941E5A}"/>
    <hyperlink ref="F44" r:id="rId31" xr:uid="{2A9BE45F-61E4-4E3A-B24E-ECC8FED98CD9}"/>
    <hyperlink ref="F45" r:id="rId32" xr:uid="{AE385190-0E2E-4D56-BC72-163A934D908E}"/>
    <hyperlink ref="F46" r:id="rId33" xr:uid="{26149FE2-5E5F-4F87-8132-462F10A77E8E}"/>
    <hyperlink ref="F47" r:id="rId34" xr:uid="{48311FDB-3D3B-43F2-8BB4-2691F1BCA87E}"/>
    <hyperlink ref="F48" r:id="rId35" xr:uid="{5F8D591E-D120-4262-8307-695A14AAF3DC}"/>
    <hyperlink ref="F49" r:id="rId36" xr:uid="{316BF3A0-D22E-48BD-BC0C-6369DDCCCA6B}"/>
    <hyperlink ref="F50" r:id="rId37" xr:uid="{4644583D-44D2-4D14-B21A-4506A8916C65}"/>
    <hyperlink ref="F51" r:id="rId38" xr:uid="{C7BE7ED7-F472-458D-8F11-B4326DF2FDFF}"/>
    <hyperlink ref="F52" r:id="rId39" xr:uid="{497B5AD1-65C7-43BB-9949-DE2E3C1A861C}"/>
    <hyperlink ref="F53" r:id="rId40" xr:uid="{4F5D271B-2069-4D59-954E-9A9770E2C33E}"/>
    <hyperlink ref="F54" r:id="rId41" xr:uid="{80AD235D-1C74-496F-9FA1-D692DF1C1C4C}"/>
    <hyperlink ref="F57" r:id="rId42" xr:uid="{10AD18D3-69F1-4829-8A42-20CAC802891B}"/>
    <hyperlink ref="F55" r:id="rId43" xr:uid="{9875F53F-7654-4D80-8D59-EE35C259FE81}"/>
    <hyperlink ref="F56" r:id="rId44" xr:uid="{E4AFF633-2822-4880-971B-B82E291F859A}"/>
    <hyperlink ref="F64" r:id="rId45" xr:uid="{614E92AF-D9D6-468C-A14A-498A0118571F}"/>
    <hyperlink ref="F65" r:id="rId46" xr:uid="{51493FAD-2707-4932-AF44-AA78E5B84550}"/>
    <hyperlink ref="F67" r:id="rId47" xr:uid="{7CD7528E-EB19-4C16-AD34-2A65A4660B74}"/>
    <hyperlink ref="F72" r:id="rId48" xr:uid="{C86D301F-563B-462D-883E-608B99DB22D5}"/>
    <hyperlink ref="F73:F74" r:id="rId49" display="marquee hire" xr:uid="{CCF49886-F9AD-4433-8F34-A4E32075E38E}"/>
    <hyperlink ref="F75" r:id="rId50" xr:uid="{9F584EBB-E2E7-4D2C-90A8-B0B23F2AD034}"/>
    <hyperlink ref="F77" r:id="rId51" xr:uid="{D89019D3-FC16-4E62-8F90-CA348D3A11EC}"/>
    <hyperlink ref="F76" r:id="rId52" xr:uid="{CA84DD49-095D-4D2F-AAE4-3599809C41E6}"/>
    <hyperlink ref="F78" r:id="rId53" xr:uid="{5BCA03C0-A404-488E-B60C-EE89F0469066}"/>
    <hyperlink ref="F80" r:id="rId54" xr:uid="{8700F31F-E0FD-410D-A42A-B8E0996D1027}"/>
    <hyperlink ref="F81" r:id="rId55" xr:uid="{81272C23-E821-4535-9F08-6942180CF94F}"/>
    <hyperlink ref="F84" r:id="rId56" xr:uid="{6210864C-1D27-4A9D-9CC8-C5AC37046322}"/>
    <hyperlink ref="F83" r:id="rId57" xr:uid="{B4293987-6CD9-417A-913D-AD96F1792006}"/>
    <hyperlink ref="F85" r:id="rId58" xr:uid="{C00BABFF-967A-4BC7-AE73-5505838342C0}"/>
    <hyperlink ref="F86" r:id="rId59" xr:uid="{01FD13B7-9947-4CE9-92B3-74E078CBB81D}"/>
    <hyperlink ref="F87" r:id="rId60" xr:uid="{91E25A86-61BC-4362-ADEC-D8E24434E31F}"/>
    <hyperlink ref="F89" r:id="rId61" xr:uid="{37B6BCFB-6D50-4C04-9EE5-7AF2A936EEC0}"/>
    <hyperlink ref="F90" r:id="rId62" xr:uid="{0AE22C21-BFB1-40F8-A2C3-20166CFDE242}"/>
    <hyperlink ref="F91" r:id="rId63" xr:uid="{C9C5BCEB-E817-4A59-8988-E71D2AC24A62}"/>
    <hyperlink ref="F96" r:id="rId64" xr:uid="{72CC7BE6-0A4E-4381-BE61-ECF03B8FD41B}"/>
    <hyperlink ref="F101" r:id="rId65" xr:uid="{5FAC7E19-9770-4207-AF8E-C5BB3726E867}"/>
    <hyperlink ref="F104" r:id="rId66" xr:uid="{0A1F077B-D7E9-40A6-A817-AFAA14C0DFCB}"/>
    <hyperlink ref="F102:F103" r:id="rId67" display="Membership &amp; GDPR " xr:uid="{3461B89F-F5E1-4B1D-9BEB-44A5BC327166}"/>
    <hyperlink ref="F105" r:id="rId68" xr:uid="{E950B95C-A073-4B50-80B4-4325721F13B8}"/>
    <hyperlink ref="F106" r:id="rId69" xr:uid="{BEDB0337-724A-4493-A05B-CEB12834F222}"/>
    <hyperlink ref="F107" r:id="rId70" xr:uid="{2B591B85-52C5-4E4F-A544-6AFF6C05A058}"/>
    <hyperlink ref="F109" r:id="rId71" xr:uid="{32BE4F9C-5B2B-4715-99DC-CEE88BB12E63}"/>
    <hyperlink ref="F114" r:id="rId72" xr:uid="{8B724AE6-6ABF-450A-A068-FB97B4662BC6}"/>
    <hyperlink ref="F115" r:id="rId73" display="Audi fee" xr:uid="{6295ACA5-4229-4815-A389-197D1EA999AC}"/>
    <hyperlink ref="F116" r:id="rId74" xr:uid="{71D723B8-8247-4765-9ECF-8DD6D5BE5705}"/>
    <hyperlink ref="F118" r:id="rId75" xr:uid="{9B9BEE00-14E4-4136-B40F-E56C21AD0EBC}"/>
    <hyperlink ref="F119:F120" r:id="rId76" display="Membership &amp; GDPR " xr:uid="{C767DC60-3A9E-448B-889D-0F705227028C}"/>
    <hyperlink ref="F119" r:id="rId77" xr:uid="{84ED971C-B830-4046-9DBA-7A37CA3838AC}"/>
    <hyperlink ref="F120" r:id="rId78" xr:uid="{7ED25BED-54A3-45C8-B592-A702DC05A0A4}"/>
    <hyperlink ref="F125" r:id="rId79" xr:uid="{E0499A4E-D0B6-4A9A-ADE6-7AE28DD891D8}"/>
    <hyperlink ref="F98" r:id="rId80" xr:uid="{ED69F506-3A24-4409-BD59-2023CDC66AE9}"/>
    <hyperlink ref="F110" r:id="rId81" display="Digger hire" xr:uid="{99CD37A4-DC06-478D-8FFC-72B39C9FE23C}"/>
    <hyperlink ref="F134" r:id="rId82" xr:uid="{DB6E4F67-8AFA-41A3-97E3-4E1594C2E68D}"/>
    <hyperlink ref="F135" r:id="rId83" xr:uid="{AE6EDE93-96C7-4945-B78D-28EC5D8EC888}"/>
    <hyperlink ref="F136" r:id="rId84" xr:uid="{731F3CA4-D4F7-4EBE-85AA-2B6E63020A58}"/>
    <hyperlink ref="F138" r:id="rId85" xr:uid="{4F761BBB-2490-493E-AFAE-8597E8DA2F2B}"/>
    <hyperlink ref="F133" r:id="rId86" xr:uid="{2EC25345-85A5-4413-BB85-4B76626F8542}"/>
    <hyperlink ref="F139" r:id="rId87" xr:uid="{893E5D03-75F1-454D-A507-AF57BCE86E3B}"/>
    <hyperlink ref="F142" r:id="rId88" xr:uid="{9AA9B53F-5776-453E-A528-285E6D15CAAB}"/>
    <hyperlink ref="F141" r:id="rId89" xr:uid="{AA2D2F2E-4856-464F-B41F-BBE4BF7C84A7}"/>
    <hyperlink ref="F140" r:id="rId90" xr:uid="{9579B68C-3C35-4C4A-8705-533FC71AAFFA}"/>
    <hyperlink ref="F146" r:id="rId91" xr:uid="{B98F2DA4-D759-4BFB-A71D-1FC3B08D41A6}"/>
    <hyperlink ref="F147" r:id="rId92" xr:uid="{782DFFFB-CD11-4276-A44D-E2F143F2565B}"/>
    <hyperlink ref="F149" r:id="rId93" xr:uid="{484C47A7-8259-46A4-9153-985CB1252C95}"/>
    <hyperlink ref="F150" r:id="rId94" xr:uid="{2DCE4046-4EFF-49DE-8ADE-4BF1EA76A211}"/>
    <hyperlink ref="F158" r:id="rId95" xr:uid="{7CB16626-2CC1-4A18-8263-E7A3DB58BFE8}"/>
    <hyperlink ref="F159" r:id="rId96" xr:uid="{B5F3C09D-264E-4B75-B6BE-71EA564C56BB}"/>
    <hyperlink ref="F160" r:id="rId97" xr:uid="{E737E0B0-896A-4762-B71D-FD35DDD2CAAC}"/>
    <hyperlink ref="F162" r:id="rId98" xr:uid="{ABC491C1-E56D-463E-ADF4-878FC42EEFA4}"/>
    <hyperlink ref="F165" r:id="rId99" xr:uid="{A01541A3-D46C-426B-87FC-C3B5A2019FEF}"/>
    <hyperlink ref="F166" r:id="rId100" xr:uid="{D91EA319-0E55-4E69-A418-DD0B6822D05B}"/>
    <hyperlink ref="F164" r:id="rId101" xr:uid="{2ADED5BC-B8C8-43F0-9B5D-AD6740D8485F}"/>
    <hyperlink ref="F163" r:id="rId102" xr:uid="{E3E33EE6-DC0D-42E1-A483-E724835F1A90}"/>
    <hyperlink ref="H172" r:id="rId103" xr:uid="{B6C77E81-1050-44EA-8AB8-6EA5AA53C562}"/>
    <hyperlink ref="H178" r:id="rId104" xr:uid="{D181727C-7324-40CC-9BDE-C62DB10B4EBE}"/>
    <hyperlink ref="H179" r:id="rId105" xr:uid="{CBBF2780-4B4C-4068-8397-2CF79D793C87}"/>
    <hyperlink ref="H180" r:id="rId106" xr:uid="{67487E30-E651-402E-BD07-46566F641825}"/>
    <hyperlink ref="H181" location="AED!A1" display="SSE" xr:uid="{D41D9D04-4BF1-4767-BD2D-88FAD09F678F}"/>
    <hyperlink ref="F187" r:id="rId107" xr:uid="{CF9CDF77-A778-4247-A77D-84788C4F788A}"/>
    <hyperlink ref="F190" r:id="rId108" xr:uid="{EFC49C4C-FE22-4A3D-A04E-1A01544CBA29}"/>
    <hyperlink ref="F195" r:id="rId109" xr:uid="{DFDE8ECB-62E7-40F3-A85F-CDF2305A0163}"/>
    <hyperlink ref="F196" r:id="rId110" display="Treed guard" xr:uid="{5D9F6705-3A49-47C9-B6A0-CE82F7F58697}"/>
    <hyperlink ref="F197" r:id="rId111" xr:uid="{8A003A05-692C-4244-BD4C-2ED744C2F094}"/>
    <hyperlink ref="F198" r:id="rId112" xr:uid="{C6CE54B3-3780-4261-B4A3-BFD42B165639}"/>
  </hyperlinks>
  <printOptions horizontalCentered="1" verticalCentered="1"/>
  <pageMargins left="0" right="0" top="0.78740157480314965" bottom="0.39370078740157483" header="0.51181102362204722" footer="0.51181102362204722"/>
  <pageSetup paperSize="9" scale="76" fitToHeight="0" orientation="landscape" r:id="rId113"/>
  <headerFooter alignWithMargins="0">
    <oddHeader xml:space="preserve">&amp;LNassington Parish Council
Northamptonshire&amp;C&amp;A&amp;RAccounts to y/e 31 March 2021
</oddHeader>
  </headerFooter>
  <drawing r:id="rId114"/>
  <tableParts count="1">
    <tablePart r:id="rId115"/>
  </tableParts>
  <extLst>
    <ext xmlns:x14="http://schemas.microsoft.com/office/spreadsheetml/2009/9/main" uri="{CCE6A557-97BC-4b89-ADB6-D9C93CAAB3DF}">
      <x14:dataValidations xmlns:xm="http://schemas.microsoft.com/office/excel/2006/main" count="2">
        <x14:dataValidation type="list" allowBlank="1" showInputMessage="1" showErrorMessage="1" xr:uid="{374E710B-674C-447B-89A7-E9EB34B3D197}">
          <x14:formula1>
            <xm:f>#REF!</xm:f>
          </x14:formula1>
          <xm:sqref>O5 O28 O45 O38 O88</xm:sqref>
        </x14:dataValidation>
        <x14:dataValidation type="list" allowBlank="1" showInputMessage="1" showErrorMessage="1" xr:uid="{2749B8E1-BAB6-4F94-8372-080641E48801}">
          <x14:formula1>
            <xm:f>#REF!</xm:f>
          </x14:formula1>
          <xm:sqref>O3:O4 O6:O27 O29:O37 O39:O44 O46:O87 O89:O203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J67"/>
  <sheetViews>
    <sheetView showGridLines="0" topLeftCell="A35" workbookViewId="0">
      <selection activeCell="E22" sqref="E22"/>
    </sheetView>
  </sheetViews>
  <sheetFormatPr defaultRowHeight="12.75"/>
  <cols>
    <col min="2" max="2" width="15" style="71" customWidth="1"/>
    <col min="3" max="3" width="23" style="71" customWidth="1"/>
    <col min="4" max="4" width="26.7109375" style="71" customWidth="1"/>
    <col min="5" max="5" width="18.5703125" customWidth="1"/>
    <col min="6" max="6" width="18" style="2" customWidth="1"/>
  </cols>
  <sheetData>
    <row r="2" spans="2:10" ht="4.5" customHeight="1"/>
    <row r="5" spans="2:10" ht="9" customHeight="1"/>
    <row r="6" spans="2:10" ht="10.5" customHeight="1"/>
    <row r="7" spans="2:10" ht="25.5">
      <c r="B7" s="75" t="s">
        <v>189</v>
      </c>
      <c r="C7" s="76" t="s">
        <v>190</v>
      </c>
      <c r="D7" s="75" t="s">
        <v>191</v>
      </c>
      <c r="E7" s="77" t="s">
        <v>192</v>
      </c>
      <c r="F7" s="91" t="s">
        <v>193</v>
      </c>
    </row>
    <row r="8" spans="2:10" ht="25.5" customHeight="1">
      <c r="B8" s="80">
        <v>44106</v>
      </c>
      <c r="C8" s="549" t="s">
        <v>351</v>
      </c>
      <c r="D8" s="94" t="s">
        <v>358</v>
      </c>
      <c r="E8" s="78" t="s">
        <v>348</v>
      </c>
      <c r="F8" s="93">
        <v>33.01</v>
      </c>
    </row>
    <row r="9" spans="2:10" ht="25.5" customHeight="1">
      <c r="B9" s="80">
        <v>44258</v>
      </c>
      <c r="C9" s="549" t="s">
        <v>351</v>
      </c>
      <c r="D9" s="94" t="s">
        <v>358</v>
      </c>
      <c r="E9" s="78" t="s">
        <v>348</v>
      </c>
      <c r="F9" s="93">
        <v>33.01</v>
      </c>
    </row>
    <row r="10" spans="2:10" ht="25.5" customHeight="1">
      <c r="B10" s="80">
        <v>44292</v>
      </c>
      <c r="C10" s="549" t="s">
        <v>346</v>
      </c>
      <c r="D10" s="92" t="s">
        <v>347</v>
      </c>
      <c r="E10" s="78" t="s">
        <v>348</v>
      </c>
      <c r="F10" s="93">
        <v>33.619999999999997</v>
      </c>
      <c r="J10" s="79"/>
    </row>
    <row r="11" spans="2:10" ht="25.5" customHeight="1">
      <c r="B11" s="80">
        <v>44302</v>
      </c>
      <c r="C11" s="549" t="s">
        <v>356</v>
      </c>
      <c r="D11" s="94" t="s">
        <v>249</v>
      </c>
      <c r="E11" s="78" t="s">
        <v>348</v>
      </c>
      <c r="F11" s="93">
        <v>29.8</v>
      </c>
    </row>
    <row r="12" spans="2:10" ht="25.5" customHeight="1">
      <c r="B12" s="80">
        <v>44321</v>
      </c>
      <c r="C12" s="549" t="s">
        <v>346</v>
      </c>
      <c r="D12" s="92" t="s">
        <v>347</v>
      </c>
      <c r="E12" s="78" t="s">
        <v>348</v>
      </c>
      <c r="F12" s="93">
        <v>35.67</v>
      </c>
      <c r="J12" s="79"/>
    </row>
    <row r="13" spans="2:10" ht="25.5" customHeight="1">
      <c r="B13" s="80">
        <v>44342</v>
      </c>
      <c r="C13" s="549" t="s">
        <v>357</v>
      </c>
      <c r="D13" s="94" t="s">
        <v>326</v>
      </c>
      <c r="E13" s="78" t="s">
        <v>348</v>
      </c>
      <c r="F13" s="93">
        <v>130</v>
      </c>
      <c r="J13" s="79"/>
    </row>
    <row r="14" spans="2:10" ht="25.5" customHeight="1">
      <c r="B14" s="80">
        <v>44349</v>
      </c>
      <c r="C14" s="549" t="s">
        <v>349</v>
      </c>
      <c r="D14" s="94" t="s">
        <v>347</v>
      </c>
      <c r="E14" s="78" t="s">
        <v>348</v>
      </c>
      <c r="F14" s="93">
        <v>30.35</v>
      </c>
      <c r="J14" s="79"/>
    </row>
    <row r="15" spans="2:10" ht="25.5" customHeight="1">
      <c r="B15" s="80">
        <v>44354</v>
      </c>
      <c r="C15" s="549" t="s">
        <v>353</v>
      </c>
      <c r="D15" s="92" t="s">
        <v>354</v>
      </c>
      <c r="E15" s="78" t="s">
        <v>348</v>
      </c>
      <c r="F15" s="93">
        <v>9.58</v>
      </c>
      <c r="J15" s="79"/>
    </row>
    <row r="16" spans="2:10" ht="25.5" customHeight="1">
      <c r="B16" s="80">
        <v>44369</v>
      </c>
      <c r="C16" s="549" t="s">
        <v>383</v>
      </c>
      <c r="D16" s="94" t="s">
        <v>352</v>
      </c>
      <c r="E16" s="78" t="s">
        <v>348</v>
      </c>
      <c r="F16" s="93">
        <v>23.5</v>
      </c>
      <c r="G16" s="83"/>
      <c r="J16" s="79"/>
    </row>
    <row r="17" spans="2:10" ht="25.5" customHeight="1">
      <c r="B17" s="80">
        <v>44379</v>
      </c>
      <c r="C17" s="549" t="s">
        <v>346</v>
      </c>
      <c r="D17" s="94" t="s">
        <v>347</v>
      </c>
      <c r="E17" s="78" t="s">
        <v>348</v>
      </c>
      <c r="F17" s="93">
        <v>32.47</v>
      </c>
      <c r="J17" s="79"/>
    </row>
    <row r="18" spans="2:10" ht="25.5" customHeight="1">
      <c r="B18" s="80">
        <v>44385</v>
      </c>
      <c r="C18" s="549" t="s">
        <v>368</v>
      </c>
      <c r="D18" s="94" t="s">
        <v>365</v>
      </c>
      <c r="E18" s="78" t="s">
        <v>348</v>
      </c>
      <c r="F18" s="93">
        <v>500</v>
      </c>
      <c r="J18" s="79"/>
    </row>
    <row r="19" spans="2:10" ht="25.5" customHeight="1">
      <c r="B19" s="80">
        <v>44395</v>
      </c>
      <c r="C19" s="549" t="s">
        <v>363</v>
      </c>
      <c r="D19" s="94" t="s">
        <v>364</v>
      </c>
      <c r="E19" s="78" t="s">
        <v>348</v>
      </c>
      <c r="F19" s="93">
        <v>1081.2</v>
      </c>
      <c r="J19" s="79"/>
    </row>
    <row r="20" spans="2:10" ht="25.5" customHeight="1">
      <c r="B20" s="80">
        <v>44411</v>
      </c>
      <c r="C20" s="549" t="s">
        <v>346</v>
      </c>
      <c r="D20" s="95" t="s">
        <v>347</v>
      </c>
      <c r="E20" s="78" t="s">
        <v>348</v>
      </c>
      <c r="F20" s="93">
        <v>34.590000000000003</v>
      </c>
      <c r="J20" s="79"/>
    </row>
    <row r="21" spans="2:10" ht="25.5" customHeight="1">
      <c r="B21" s="80">
        <v>44441</v>
      </c>
      <c r="C21" s="549" t="s">
        <v>346</v>
      </c>
      <c r="D21" s="94" t="s">
        <v>347</v>
      </c>
      <c r="E21" s="78" t="s">
        <v>348</v>
      </c>
      <c r="F21" s="93">
        <v>32.04</v>
      </c>
      <c r="J21" s="79"/>
    </row>
    <row r="22" spans="2:10" ht="25.5" customHeight="1">
      <c r="B22" s="80">
        <v>44456</v>
      </c>
      <c r="C22" s="549" t="s">
        <v>368</v>
      </c>
      <c r="D22" s="94" t="s">
        <v>365</v>
      </c>
      <c r="E22" s="78" t="s">
        <v>348</v>
      </c>
      <c r="F22" s="93">
        <v>500</v>
      </c>
      <c r="J22" s="79"/>
    </row>
    <row r="23" spans="2:10" ht="25.5" customHeight="1">
      <c r="B23" s="80">
        <v>44457</v>
      </c>
      <c r="C23" s="549" t="s">
        <v>361</v>
      </c>
      <c r="D23" s="94" t="s">
        <v>362</v>
      </c>
      <c r="E23" s="78" t="s">
        <v>348</v>
      </c>
      <c r="F23" s="93">
        <v>60</v>
      </c>
      <c r="J23" s="79"/>
    </row>
    <row r="24" spans="2:10" ht="25.5" customHeight="1">
      <c r="B24" s="80">
        <v>44463</v>
      </c>
      <c r="C24" s="549" t="s">
        <v>346</v>
      </c>
      <c r="D24" s="92" t="s">
        <v>355</v>
      </c>
      <c r="E24" s="78" t="s">
        <v>348</v>
      </c>
      <c r="F24" s="93">
        <v>-235.45</v>
      </c>
      <c r="J24" s="79"/>
    </row>
    <row r="25" spans="2:10" ht="23.1" customHeight="1">
      <c r="B25" s="80">
        <v>44472</v>
      </c>
      <c r="C25" s="549" t="s">
        <v>353</v>
      </c>
      <c r="D25" s="92" t="s">
        <v>350</v>
      </c>
      <c r="E25" s="78" t="s">
        <v>348</v>
      </c>
      <c r="F25" s="93">
        <v>8.33</v>
      </c>
    </row>
    <row r="26" spans="2:10" ht="23.1" customHeight="1">
      <c r="B26" s="80">
        <v>44473</v>
      </c>
      <c r="C26" s="549" t="s">
        <v>346</v>
      </c>
      <c r="D26" s="94" t="s">
        <v>347</v>
      </c>
      <c r="E26" s="78" t="s">
        <v>348</v>
      </c>
      <c r="F26" s="93">
        <v>2.5099999999999998</v>
      </c>
    </row>
    <row r="27" spans="2:10" ht="23.1" customHeight="1">
      <c r="B27" s="80">
        <v>44475</v>
      </c>
      <c r="C27" s="549" t="s">
        <v>370</v>
      </c>
      <c r="D27" s="94" t="s">
        <v>371</v>
      </c>
      <c r="E27" s="78" t="s">
        <v>348</v>
      </c>
      <c r="F27" s="93">
        <v>3.11</v>
      </c>
    </row>
    <row r="28" spans="2:10" ht="23.1" customHeight="1">
      <c r="B28" s="80">
        <v>44476</v>
      </c>
      <c r="C28" s="549" t="s">
        <v>359</v>
      </c>
      <c r="D28" s="94" t="s">
        <v>360</v>
      </c>
      <c r="E28" s="78" t="s">
        <v>348</v>
      </c>
      <c r="F28" s="93">
        <v>26.25</v>
      </c>
    </row>
    <row r="29" spans="2:10" ht="23.1" customHeight="1">
      <c r="B29" s="80">
        <v>44483</v>
      </c>
      <c r="C29" s="549" t="s">
        <v>366</v>
      </c>
      <c r="D29" s="94" t="s">
        <v>367</v>
      </c>
      <c r="E29" s="78" t="s">
        <v>348</v>
      </c>
      <c r="F29" s="93">
        <v>119.6</v>
      </c>
    </row>
    <row r="30" spans="2:10" ht="23.1" customHeight="1">
      <c r="B30" s="80">
        <v>44502</v>
      </c>
      <c r="C30" s="549" t="s">
        <v>346</v>
      </c>
      <c r="D30" s="94" t="s">
        <v>347</v>
      </c>
      <c r="E30" s="78" t="s">
        <v>348</v>
      </c>
      <c r="F30" s="93">
        <v>2.58</v>
      </c>
    </row>
    <row r="31" spans="2:10" ht="23.1" customHeight="1">
      <c r="B31" s="80">
        <v>44502</v>
      </c>
      <c r="C31" s="549" t="s">
        <v>346</v>
      </c>
      <c r="D31" s="94" t="s">
        <v>347</v>
      </c>
      <c r="E31" s="78" t="s">
        <v>348</v>
      </c>
      <c r="F31" s="93">
        <v>2.5</v>
      </c>
    </row>
    <row r="32" spans="2:10" ht="23.1" customHeight="1">
      <c r="B32" s="80">
        <v>44543</v>
      </c>
      <c r="C32" s="549" t="s">
        <v>369</v>
      </c>
      <c r="D32" s="94" t="s">
        <v>365</v>
      </c>
      <c r="E32" s="78" t="s">
        <v>348</v>
      </c>
      <c r="F32" s="93">
        <v>300</v>
      </c>
    </row>
    <row r="33" spans="1:10" ht="23.1" customHeight="1">
      <c r="B33" s="80">
        <v>44543</v>
      </c>
      <c r="C33" s="549" t="s">
        <v>369</v>
      </c>
      <c r="D33" s="94" t="s">
        <v>365</v>
      </c>
      <c r="E33" s="78" t="s">
        <v>348</v>
      </c>
      <c r="F33" s="93">
        <v>500</v>
      </c>
    </row>
    <row r="34" spans="1:10" ht="23.1" customHeight="1">
      <c r="B34" s="80">
        <v>44566</v>
      </c>
      <c r="C34" s="549" t="s">
        <v>346</v>
      </c>
      <c r="D34" s="94" t="s">
        <v>347</v>
      </c>
      <c r="E34" s="78" t="s">
        <v>348</v>
      </c>
      <c r="F34" s="93">
        <v>2.81</v>
      </c>
    </row>
    <row r="35" spans="1:10" ht="23.1" customHeight="1">
      <c r="B35" s="80">
        <v>44568</v>
      </c>
      <c r="C35" s="549" t="s">
        <v>366</v>
      </c>
      <c r="D35" s="94" t="s">
        <v>367</v>
      </c>
      <c r="E35" s="78" t="s">
        <v>348</v>
      </c>
      <c r="F35" s="93">
        <v>71.2</v>
      </c>
    </row>
    <row r="36" spans="1:10" ht="23.1" customHeight="1">
      <c r="B36" s="80">
        <v>44594</v>
      </c>
      <c r="C36" s="549" t="s">
        <v>346</v>
      </c>
      <c r="D36" s="94" t="s">
        <v>347</v>
      </c>
      <c r="E36" s="78" t="s">
        <v>348</v>
      </c>
      <c r="F36" s="93">
        <v>2.36</v>
      </c>
    </row>
    <row r="37" spans="1:10" ht="23.1" customHeight="1">
      <c r="B37" s="80">
        <v>44610</v>
      </c>
      <c r="C37" s="549" t="s">
        <v>368</v>
      </c>
      <c r="D37" s="82" t="s">
        <v>365</v>
      </c>
      <c r="E37" s="78" t="s">
        <v>348</v>
      </c>
      <c r="F37" s="93">
        <v>300</v>
      </c>
    </row>
    <row r="38" spans="1:10" ht="23.1" customHeight="1">
      <c r="B38" s="80">
        <v>44622</v>
      </c>
      <c r="C38" s="549" t="s">
        <v>346</v>
      </c>
      <c r="D38" s="94" t="s">
        <v>347</v>
      </c>
      <c r="E38" s="78" t="s">
        <v>348</v>
      </c>
      <c r="F38" s="93">
        <v>2.36</v>
      </c>
    </row>
    <row r="39" spans="1:10" ht="23.1" customHeight="1">
      <c r="B39" s="80">
        <v>44624</v>
      </c>
      <c r="C39" s="549" t="s">
        <v>381</v>
      </c>
      <c r="D39" s="82" t="s">
        <v>382</v>
      </c>
      <c r="E39" s="78" t="s">
        <v>348</v>
      </c>
      <c r="F39" s="93">
        <v>65.12</v>
      </c>
    </row>
    <row r="40" spans="1:10" ht="23.1" customHeight="1">
      <c r="B40" s="80">
        <v>44628</v>
      </c>
      <c r="C40" s="549" t="s">
        <v>375</v>
      </c>
      <c r="D40" s="94" t="s">
        <v>376</v>
      </c>
      <c r="E40" s="78" t="s">
        <v>348</v>
      </c>
      <c r="F40" s="93">
        <v>11.67</v>
      </c>
    </row>
    <row r="41" spans="1:10" ht="23.1" customHeight="1">
      <c r="B41" s="80">
        <v>44628</v>
      </c>
      <c r="C41" s="549" t="s">
        <v>378</v>
      </c>
      <c r="D41" s="94" t="s">
        <v>377</v>
      </c>
      <c r="E41" s="78" t="s">
        <v>348</v>
      </c>
      <c r="F41" s="93">
        <v>6.17</v>
      </c>
    </row>
    <row r="42" spans="1:10" ht="23.1" customHeight="1">
      <c r="B42" s="80">
        <v>44628</v>
      </c>
      <c r="C42" s="549" t="s">
        <v>378</v>
      </c>
      <c r="D42" s="94" t="s">
        <v>377</v>
      </c>
      <c r="E42" s="78" t="s">
        <v>348</v>
      </c>
      <c r="F42" s="93">
        <v>3.51</v>
      </c>
    </row>
    <row r="43" spans="1:10" ht="23.1" customHeight="1">
      <c r="B43" s="80">
        <v>44628</v>
      </c>
      <c r="C43" s="549" t="s">
        <v>378</v>
      </c>
      <c r="D43" s="94" t="s">
        <v>377</v>
      </c>
      <c r="E43" s="78" t="s">
        <v>348</v>
      </c>
      <c r="F43" s="93">
        <v>2</v>
      </c>
    </row>
    <row r="44" spans="1:10" ht="23.1" customHeight="1">
      <c r="B44" s="80">
        <v>44628</v>
      </c>
      <c r="C44" s="549" t="s">
        <v>380</v>
      </c>
      <c r="D44" s="94" t="s">
        <v>377</v>
      </c>
      <c r="E44" s="78" t="s">
        <v>348</v>
      </c>
      <c r="F44" s="93">
        <v>2.4900000000000002</v>
      </c>
    </row>
    <row r="45" spans="1:10" ht="23.1" customHeight="1">
      <c r="B45" s="80">
        <v>44629</v>
      </c>
      <c r="C45" s="549" t="s">
        <v>379</v>
      </c>
      <c r="D45" s="94" t="s">
        <v>377</v>
      </c>
      <c r="E45" s="78" t="s">
        <v>348</v>
      </c>
      <c r="F45" s="93">
        <v>2</v>
      </c>
    </row>
    <row r="46" spans="1:10" ht="23.1" customHeight="1">
      <c r="B46" s="80">
        <v>44631</v>
      </c>
      <c r="C46" s="549" t="s">
        <v>373</v>
      </c>
      <c r="D46" s="94" t="s">
        <v>374</v>
      </c>
      <c r="E46" s="78" t="s">
        <v>348</v>
      </c>
      <c r="F46" s="93">
        <v>9.92</v>
      </c>
    </row>
    <row r="47" spans="1:10" ht="23.1" customHeight="1">
      <c r="B47" s="80"/>
      <c r="C47" s="81"/>
      <c r="D47" s="82"/>
      <c r="E47" s="78"/>
      <c r="F47" s="93"/>
    </row>
    <row r="48" spans="1:10" ht="23.1" customHeight="1">
      <c r="A48" t="s">
        <v>56</v>
      </c>
      <c r="B48" s="80"/>
      <c r="C48" s="81"/>
      <c r="D48" s="82"/>
      <c r="E48" s="78"/>
      <c r="F48" s="93"/>
      <c r="J48" s="79"/>
    </row>
    <row r="49" spans="2:10" ht="18" customHeight="1">
      <c r="B49" s="84"/>
      <c r="C49" s="85"/>
      <c r="D49" s="85"/>
      <c r="E49" s="86"/>
      <c r="F49" s="96"/>
      <c r="J49" s="79"/>
    </row>
    <row r="50" spans="2:10" ht="15">
      <c r="B50" s="87" t="s">
        <v>197</v>
      </c>
      <c r="C50" s="74"/>
      <c r="D50" s="74"/>
      <c r="E50" s="73"/>
      <c r="F50" s="97">
        <f>SUM(F8:F49)</f>
        <v>3809.88</v>
      </c>
      <c r="G50" s="72"/>
      <c r="H50" s="88"/>
      <c r="J50" s="79"/>
    </row>
    <row r="51" spans="2:10" ht="21" customHeight="1">
      <c r="C51" s="74"/>
      <c r="D51" s="74"/>
      <c r="E51" s="73"/>
      <c r="H51" s="72"/>
    </row>
    <row r="52" spans="2:10" ht="24.95" customHeight="1">
      <c r="B52" s="89"/>
      <c r="C52" s="74"/>
      <c r="D52" s="74"/>
      <c r="E52" s="73"/>
      <c r="F52" s="98"/>
      <c r="J52" s="79"/>
    </row>
    <row r="53" spans="2:10" ht="21" customHeight="1">
      <c r="B53" s="89"/>
      <c r="C53" s="74"/>
      <c r="D53" s="74"/>
      <c r="E53" s="73"/>
      <c r="F53" s="98"/>
    </row>
    <row r="54" spans="2:10" ht="14.25" customHeight="1">
      <c r="C54" s="74"/>
      <c r="D54" s="74"/>
      <c r="E54" s="73"/>
    </row>
    <row r="55" spans="2:10" ht="22.5" customHeight="1">
      <c r="B55" s="89"/>
      <c r="C55" s="74"/>
      <c r="D55" s="74"/>
      <c r="E55" s="73"/>
      <c r="F55" s="98"/>
    </row>
    <row r="56" spans="2:10" ht="24.95" customHeight="1">
      <c r="B56" s="89"/>
      <c r="C56" s="74"/>
      <c r="D56" s="74"/>
      <c r="E56" s="73"/>
      <c r="F56" s="98"/>
    </row>
    <row r="57" spans="2:10" ht="15.75" customHeight="1">
      <c r="B57" s="89"/>
      <c r="C57" s="74"/>
      <c r="D57" s="74"/>
      <c r="E57" s="90"/>
    </row>
    <row r="58" spans="2:10" ht="20.100000000000001" customHeight="1"/>
    <row r="59" spans="2:10" ht="20.100000000000001" customHeight="1"/>
    <row r="60" spans="2:10" ht="20.100000000000001" customHeight="1"/>
    <row r="61" spans="2:10" ht="20.100000000000001" customHeight="1"/>
    <row r="62" spans="2:10" ht="20.100000000000001" customHeight="1"/>
    <row r="63" spans="2:10" ht="20.100000000000001" customHeight="1">
      <c r="J63">
        <v>15.6</v>
      </c>
    </row>
    <row r="64" spans="2:10" ht="20.100000000000001" customHeight="1"/>
    <row r="65" spans="10:10" ht="20.100000000000001" customHeight="1"/>
    <row r="66" spans="10:10">
      <c r="J66">
        <v>32.979999999999997</v>
      </c>
    </row>
    <row r="67" spans="10:10">
      <c r="J67">
        <v>1.72</v>
      </c>
    </row>
  </sheetData>
  <sheetProtection algorithmName="SHA-512" hashValue="Tpy/sgQ+XW3i3F/pgRO77V2O3UxPD5sn4p5rU3P+lJvQYm+sDQWzE8zjD48z3DVkadWDs2DN9qjeyeroI9+0fA==" saltValue="RL6+aUNL7LUnvYFpc/RYHw==" spinCount="100000" sheet="1" objects="1" scenarios="1" selectLockedCells="1" selectUnlockedCells="1"/>
  <sortState xmlns:xlrd2="http://schemas.microsoft.com/office/spreadsheetml/2017/richdata2" ref="B8:F46">
    <sortCondition ref="B8:B46"/>
  </sortState>
  <pageMargins left="0.19685039370078741" right="0.19685039370078741" top="0" bottom="0" header="0.51181102362204722" footer="0.51181102362204722"/>
  <pageSetup paperSize="9"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44"/>
    <pageSetUpPr fitToPage="1"/>
  </sheetPr>
  <dimension ref="A1:IT63"/>
  <sheetViews>
    <sheetView showGridLines="0" zoomScaleNormal="100" workbookViewId="0">
      <pane xSplit="2" ySplit="3" topLeftCell="C4" activePane="bottomRight" state="frozen"/>
      <selection activeCell="G37" sqref="G37"/>
      <selection pane="topRight" activeCell="G37" sqref="G37"/>
      <selection pane="bottomLeft" activeCell="G37" sqref="G37"/>
      <selection pane="bottomRight" activeCell="C2" sqref="C2:C3"/>
    </sheetView>
  </sheetViews>
  <sheetFormatPr defaultColWidth="9.140625" defaultRowHeight="12.75"/>
  <cols>
    <col min="1" max="1" width="3.42578125" style="4" customWidth="1"/>
    <col min="2" max="2" width="10.28515625" style="4" customWidth="1"/>
    <col min="3" max="3" width="30.140625" style="4" customWidth="1"/>
    <col min="4" max="4" width="8.7109375" style="1" bestFit="1" customWidth="1"/>
    <col min="5" max="5" width="14.140625" style="5" customWidth="1"/>
    <col min="6" max="6" width="9.28515625" style="5" bestFit="1" customWidth="1"/>
    <col min="7" max="8" width="10.7109375" style="5" customWidth="1"/>
    <col min="9" max="9" width="10.5703125" style="5" customWidth="1"/>
    <col min="10" max="10" width="9.5703125" style="5" customWidth="1"/>
    <col min="11" max="12" width="10.5703125" style="5" bestFit="1" customWidth="1"/>
    <col min="13" max="13" width="10.5703125" style="1" bestFit="1" customWidth="1"/>
    <col min="14" max="14" width="3.42578125" style="4" customWidth="1"/>
    <col min="15" max="15" width="9.85546875" style="4" customWidth="1"/>
    <col min="16" max="17" width="9.28515625" style="4" bestFit="1" customWidth="1"/>
    <col min="18" max="18" width="9.140625" style="4"/>
    <col min="19" max="19" width="9.85546875" style="4" customWidth="1"/>
    <col min="20" max="20" width="9.140625" style="4"/>
    <col min="21" max="21" width="9.28515625" style="4" bestFit="1" customWidth="1"/>
    <col min="22" max="16384" width="9.140625" style="4"/>
  </cols>
  <sheetData>
    <row r="1" spans="1:254" s="2" customFormat="1" ht="16.5" thickBot="1">
      <c r="B1" s="3"/>
      <c r="C1" s="7" t="s">
        <v>38</v>
      </c>
      <c r="D1" s="8"/>
      <c r="E1" s="1"/>
      <c r="F1" s="1"/>
      <c r="G1" s="1"/>
      <c r="H1" s="1"/>
      <c r="I1" s="1"/>
      <c r="J1" s="1"/>
      <c r="K1" s="1"/>
      <c r="L1" s="1"/>
      <c r="M1" s="1"/>
    </row>
    <row r="2" spans="1:254" ht="14.25" customHeight="1">
      <c r="B2" s="709" t="s">
        <v>3</v>
      </c>
      <c r="C2" s="711" t="s">
        <v>4</v>
      </c>
      <c r="D2" s="713" t="s">
        <v>11</v>
      </c>
      <c r="E2" s="715" t="s">
        <v>8</v>
      </c>
      <c r="F2" s="711" t="s">
        <v>28</v>
      </c>
      <c r="G2" s="711" t="s">
        <v>26</v>
      </c>
      <c r="H2" s="720" t="s">
        <v>51</v>
      </c>
      <c r="I2" s="720" t="s">
        <v>248</v>
      </c>
      <c r="J2" s="711" t="s">
        <v>14</v>
      </c>
      <c r="K2" s="711" t="s">
        <v>10</v>
      </c>
      <c r="L2" s="715" t="s">
        <v>13</v>
      </c>
      <c r="M2" s="717" t="s">
        <v>15</v>
      </c>
    </row>
    <row r="3" spans="1:254" ht="14.25" customHeight="1">
      <c r="B3" s="710"/>
      <c r="C3" s="712"/>
      <c r="D3" s="714"/>
      <c r="E3" s="716"/>
      <c r="F3" s="712"/>
      <c r="G3" s="712"/>
      <c r="H3" s="721"/>
      <c r="I3" s="721"/>
      <c r="J3" s="712"/>
      <c r="K3" s="712"/>
      <c r="L3" s="716"/>
      <c r="M3" s="718"/>
    </row>
    <row r="4" spans="1:254" s="9" customFormat="1" ht="15" customHeight="1">
      <c r="A4" s="21" t="s">
        <v>209</v>
      </c>
      <c r="B4" s="26">
        <v>44670</v>
      </c>
      <c r="C4" s="27" t="s">
        <v>463</v>
      </c>
      <c r="D4" s="28" t="s">
        <v>467</v>
      </c>
      <c r="E4" s="23"/>
      <c r="F4" s="23"/>
      <c r="G4" s="23"/>
      <c r="H4" s="23"/>
      <c r="I4" s="23"/>
      <c r="J4" s="23"/>
      <c r="K4" s="23">
        <v>3300</v>
      </c>
      <c r="L4" s="23"/>
      <c r="M4" s="29">
        <f t="shared" ref="M4:M59" si="0">SUM(E4:L4)</f>
        <v>3300</v>
      </c>
      <c r="N4" s="11"/>
      <c r="O4" s="11"/>
      <c r="P4" s="11"/>
      <c r="Q4" s="11"/>
      <c r="R4" s="11"/>
      <c r="S4" s="11"/>
      <c r="T4" s="11"/>
      <c r="U4" s="11"/>
    </row>
    <row r="5" spans="1:254" s="10" customFormat="1" ht="15" customHeight="1">
      <c r="A5" s="21" t="s">
        <v>217</v>
      </c>
      <c r="B5" s="169">
        <v>44673</v>
      </c>
      <c r="C5" s="173" t="s">
        <v>468</v>
      </c>
      <c r="D5" s="171" t="s">
        <v>505</v>
      </c>
      <c r="E5" s="175"/>
      <c r="F5" s="175"/>
      <c r="G5" s="175"/>
      <c r="H5" s="175"/>
      <c r="I5" s="175">
        <v>534.22</v>
      </c>
      <c r="J5" s="175"/>
      <c r="K5" s="175"/>
      <c r="L5" s="175"/>
      <c r="M5" s="172">
        <f t="shared" si="0"/>
        <v>534.22</v>
      </c>
      <c r="N5" s="21"/>
      <c r="O5" s="21"/>
      <c r="P5" s="21"/>
      <c r="Q5" s="21"/>
      <c r="R5" s="21"/>
      <c r="S5" s="21"/>
      <c r="T5" s="21"/>
      <c r="U5" s="21"/>
      <c r="V5" s="21"/>
      <c r="W5" s="21"/>
      <c r="X5" s="21"/>
      <c r="Y5" s="21"/>
      <c r="Z5" s="21"/>
      <c r="AA5" s="21"/>
      <c r="AB5" s="21"/>
      <c r="AC5" s="21"/>
      <c r="AD5" s="21"/>
      <c r="AE5" s="21"/>
      <c r="AF5" s="21"/>
      <c r="AG5" s="21"/>
      <c r="AH5" s="21"/>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row>
    <row r="6" spans="1:254" s="9" customFormat="1" ht="15" customHeight="1">
      <c r="A6" s="21" t="s">
        <v>218</v>
      </c>
      <c r="B6" s="26">
        <v>44680</v>
      </c>
      <c r="C6" s="30" t="s">
        <v>8</v>
      </c>
      <c r="D6" s="28" t="s">
        <v>505</v>
      </c>
      <c r="E6" s="23">
        <v>50750</v>
      </c>
      <c r="F6" s="23"/>
      <c r="G6" s="23"/>
      <c r="H6" s="23"/>
      <c r="I6" s="23"/>
      <c r="J6" s="23"/>
      <c r="K6" s="23"/>
      <c r="L6" s="23"/>
      <c r="M6" s="29">
        <f t="shared" si="0"/>
        <v>50750</v>
      </c>
      <c r="N6" s="18"/>
      <c r="O6" s="15"/>
      <c r="P6" s="15"/>
      <c r="Q6" s="15"/>
      <c r="R6" s="15"/>
      <c r="S6" s="15"/>
      <c r="T6" s="15"/>
      <c r="U6" s="20"/>
      <c r="V6" s="19"/>
      <c r="W6" s="15"/>
      <c r="X6" s="18"/>
      <c r="Y6" s="15"/>
      <c r="Z6" s="15"/>
      <c r="AA6" s="15"/>
      <c r="AB6" s="15"/>
      <c r="AC6" s="15"/>
      <c r="AD6" s="15"/>
      <c r="AE6" s="15"/>
      <c r="AF6" s="20"/>
      <c r="AG6" s="19"/>
      <c r="AH6" s="15"/>
      <c r="AI6" s="18"/>
      <c r="AJ6" s="15"/>
      <c r="AK6" s="15"/>
      <c r="AL6" s="15"/>
      <c r="AM6" s="15"/>
      <c r="AN6" s="15"/>
      <c r="AO6" s="15"/>
      <c r="AP6" s="15"/>
      <c r="AQ6" s="20"/>
      <c r="AR6" s="19"/>
      <c r="AS6" s="15"/>
      <c r="AT6" s="18"/>
      <c r="AU6" s="15"/>
      <c r="AV6" s="15"/>
      <c r="AW6" s="15"/>
      <c r="AX6" s="15"/>
      <c r="AY6" s="15"/>
      <c r="AZ6" s="15"/>
      <c r="BA6" s="15"/>
      <c r="BB6" s="20"/>
      <c r="BC6" s="19"/>
      <c r="BD6" s="15"/>
      <c r="BE6" s="18"/>
      <c r="BF6" s="15"/>
      <c r="BG6" s="15"/>
      <c r="BH6" s="15"/>
      <c r="BI6" s="15"/>
      <c r="BJ6" s="15"/>
      <c r="BK6" s="15"/>
      <c r="BL6" s="15"/>
      <c r="BM6" s="20"/>
      <c r="BN6" s="19"/>
      <c r="BO6" s="15"/>
      <c r="BP6" s="18"/>
      <c r="BQ6" s="15"/>
      <c r="BR6" s="15"/>
      <c r="BS6" s="15"/>
      <c r="BT6" s="15"/>
      <c r="BU6" s="15"/>
      <c r="BV6" s="15"/>
      <c r="BW6" s="15"/>
      <c r="BX6" s="20"/>
      <c r="BY6" s="19"/>
      <c r="BZ6" s="15"/>
      <c r="CA6" s="18"/>
      <c r="CB6" s="15"/>
      <c r="CC6" s="15"/>
      <c r="CD6" s="15"/>
      <c r="CE6" s="15"/>
      <c r="CF6" s="15"/>
      <c r="CG6" s="15"/>
      <c r="CH6" s="15"/>
      <c r="CI6" s="20"/>
      <c r="CJ6" s="19"/>
      <c r="CK6" s="15"/>
      <c r="CL6" s="18"/>
      <c r="CM6" s="15"/>
      <c r="CN6" s="15"/>
      <c r="CO6" s="15"/>
      <c r="CP6" s="15"/>
      <c r="CQ6" s="15"/>
      <c r="CR6" s="15"/>
      <c r="CS6" s="15"/>
      <c r="CT6" s="20"/>
      <c r="CU6" s="19"/>
      <c r="CV6" s="15"/>
      <c r="CW6" s="18"/>
      <c r="CX6" s="15"/>
      <c r="CY6" s="15"/>
      <c r="CZ6" s="15"/>
      <c r="DA6" s="15"/>
      <c r="DB6" s="15"/>
      <c r="DC6" s="15"/>
      <c r="DD6" s="15"/>
      <c r="DE6" s="20"/>
      <c r="DF6" s="19"/>
      <c r="DG6" s="15"/>
      <c r="DH6" s="18"/>
      <c r="DI6" s="15"/>
      <c r="DJ6" s="15"/>
      <c r="DK6" s="15"/>
      <c r="DL6" s="15"/>
      <c r="DM6" s="15"/>
      <c r="DN6" s="15"/>
      <c r="DO6" s="15"/>
      <c r="DP6" s="20"/>
      <c r="DQ6" s="19"/>
      <c r="DR6" s="15"/>
      <c r="DS6" s="18"/>
      <c r="DT6" s="15"/>
      <c r="DU6" s="15"/>
      <c r="DV6" s="15"/>
      <c r="DW6" s="15"/>
      <c r="DX6" s="15"/>
      <c r="DY6" s="15"/>
      <c r="DZ6" s="15"/>
      <c r="EA6" s="20"/>
      <c r="EB6" s="19"/>
      <c r="EC6" s="15"/>
      <c r="ED6" s="18"/>
      <c r="EE6" s="15"/>
      <c r="EF6" s="15"/>
      <c r="EG6" s="15"/>
      <c r="EH6" s="15"/>
      <c r="EI6" s="15"/>
      <c r="EJ6" s="15"/>
      <c r="EK6" s="15"/>
      <c r="EL6" s="20"/>
      <c r="EM6" s="19"/>
      <c r="EN6" s="15"/>
      <c r="EO6" s="18"/>
      <c r="EP6" s="15"/>
      <c r="EQ6" s="15"/>
      <c r="ER6" s="15"/>
      <c r="ES6" s="15"/>
      <c r="ET6" s="15"/>
      <c r="EU6" s="15"/>
      <c r="EV6" s="15"/>
      <c r="EW6" s="20"/>
      <c r="EX6" s="19"/>
      <c r="EY6" s="15"/>
      <c r="EZ6" s="18"/>
      <c r="FA6" s="15"/>
      <c r="FB6" s="15"/>
      <c r="FC6" s="15"/>
      <c r="FD6" s="15"/>
      <c r="FE6" s="15"/>
      <c r="FF6" s="15"/>
      <c r="FG6" s="15"/>
      <c r="FH6" s="20"/>
      <c r="FI6" s="19"/>
      <c r="FJ6" s="15"/>
      <c r="FK6" s="18"/>
      <c r="FL6" s="15"/>
      <c r="FM6" s="15"/>
      <c r="FN6" s="15"/>
      <c r="FO6" s="15"/>
      <c r="FP6" s="15"/>
      <c r="FQ6" s="15"/>
      <c r="FR6" s="15"/>
      <c r="FS6" s="20"/>
      <c r="FT6" s="19"/>
      <c r="FU6" s="15"/>
      <c r="FV6" s="18"/>
      <c r="FW6" s="15"/>
      <c r="FX6" s="15"/>
      <c r="FY6" s="15"/>
      <c r="FZ6" s="15"/>
      <c r="GA6" s="15"/>
      <c r="GB6" s="15"/>
      <c r="GC6" s="15"/>
      <c r="GD6" s="20"/>
      <c r="GE6" s="19"/>
      <c r="GF6" s="15"/>
      <c r="GG6" s="18"/>
      <c r="GH6" s="15"/>
      <c r="GI6" s="15"/>
      <c r="GJ6" s="15"/>
      <c r="GK6" s="15"/>
      <c r="GL6" s="15"/>
      <c r="GM6" s="15"/>
      <c r="GN6" s="15"/>
      <c r="GO6" s="20"/>
      <c r="GP6" s="19"/>
      <c r="GQ6" s="15"/>
      <c r="GR6" s="18"/>
      <c r="GS6" s="15"/>
      <c r="GT6" s="15"/>
      <c r="GU6" s="15"/>
      <c r="GV6" s="15"/>
      <c r="GW6" s="15"/>
      <c r="GX6" s="15"/>
      <c r="GY6" s="15"/>
      <c r="GZ6" s="20"/>
      <c r="HA6" s="19"/>
      <c r="HB6" s="15"/>
      <c r="HC6" s="18"/>
      <c r="HD6" s="15"/>
      <c r="HE6" s="15"/>
      <c r="HF6" s="15"/>
      <c r="HG6" s="15"/>
      <c r="HH6" s="15"/>
      <c r="HI6" s="15"/>
      <c r="HJ6" s="15"/>
      <c r="HK6" s="20"/>
      <c r="HL6" s="19"/>
      <c r="HM6" s="15"/>
      <c r="HN6" s="18"/>
      <c r="HO6" s="15"/>
      <c r="HP6" s="15"/>
      <c r="HQ6" s="15"/>
      <c r="HR6" s="15"/>
      <c r="HS6" s="15"/>
      <c r="HT6" s="15"/>
      <c r="HU6" s="15"/>
      <c r="HV6" s="20"/>
      <c r="HW6" s="19"/>
      <c r="HX6" s="15"/>
      <c r="HY6" s="18"/>
      <c r="HZ6" s="15"/>
      <c r="IA6" s="15"/>
      <c r="IB6" s="15"/>
      <c r="IC6" s="15"/>
      <c r="ID6" s="15"/>
      <c r="IE6" s="15"/>
      <c r="IF6" s="15"/>
      <c r="IG6" s="20"/>
      <c r="IH6" s="19"/>
      <c r="II6" s="15"/>
      <c r="IJ6" s="18"/>
      <c r="IK6" s="15"/>
    </row>
    <row r="7" spans="1:254" s="9" customFormat="1" ht="15" customHeight="1">
      <c r="A7" s="21" t="s">
        <v>119</v>
      </c>
      <c r="B7" s="169">
        <v>44680</v>
      </c>
      <c r="C7" s="173" t="s">
        <v>9</v>
      </c>
      <c r="D7" s="171" t="s">
        <v>542</v>
      </c>
      <c r="E7" s="175"/>
      <c r="F7" s="175">
        <v>18.54</v>
      </c>
      <c r="G7" s="175"/>
      <c r="H7" s="175"/>
      <c r="I7" s="175"/>
      <c r="J7" s="175"/>
      <c r="K7" s="175"/>
      <c r="L7" s="175"/>
      <c r="M7" s="172">
        <f t="shared" si="0"/>
        <v>18.54</v>
      </c>
      <c r="N7" s="18"/>
      <c r="O7" s="15"/>
      <c r="P7" s="15"/>
      <c r="Q7" s="15"/>
      <c r="R7" s="15"/>
      <c r="S7" s="15"/>
      <c r="T7" s="15"/>
      <c r="U7" s="20"/>
      <c r="V7" s="19"/>
      <c r="W7" s="15"/>
      <c r="X7" s="18"/>
      <c r="Y7" s="15"/>
      <c r="Z7" s="15"/>
      <c r="AA7" s="15"/>
      <c r="AB7" s="15"/>
      <c r="AC7" s="15"/>
      <c r="AD7" s="15"/>
      <c r="AE7" s="15"/>
      <c r="AF7" s="20"/>
      <c r="AG7" s="19"/>
      <c r="AH7" s="15"/>
      <c r="AI7" s="18"/>
      <c r="AJ7" s="15"/>
      <c r="AK7" s="15"/>
      <c r="AL7" s="15"/>
      <c r="AM7" s="15"/>
      <c r="AN7" s="15"/>
      <c r="AO7" s="15"/>
      <c r="AP7" s="15"/>
      <c r="AQ7" s="20"/>
      <c r="AR7" s="19"/>
      <c r="AS7" s="15"/>
      <c r="AT7" s="18"/>
      <c r="AU7" s="15"/>
      <c r="AV7" s="15"/>
      <c r="AW7" s="15"/>
      <c r="AX7" s="15"/>
      <c r="AY7" s="15"/>
      <c r="AZ7" s="15"/>
      <c r="BA7" s="15"/>
      <c r="BB7" s="20"/>
      <c r="BC7" s="19"/>
      <c r="BD7" s="15"/>
      <c r="BE7" s="18"/>
      <c r="BF7" s="15"/>
      <c r="BG7" s="15"/>
      <c r="BH7" s="15"/>
      <c r="BI7" s="15"/>
      <c r="BJ7" s="15"/>
      <c r="BK7" s="15"/>
      <c r="BL7" s="15"/>
      <c r="BM7" s="20"/>
      <c r="BN7" s="19"/>
      <c r="BO7" s="15"/>
      <c r="BP7" s="18"/>
      <c r="BQ7" s="15"/>
      <c r="BR7" s="15"/>
      <c r="BS7" s="15"/>
      <c r="BT7" s="15"/>
      <c r="BU7" s="15"/>
      <c r="BV7" s="15"/>
      <c r="BW7" s="15"/>
      <c r="BX7" s="20"/>
      <c r="BY7" s="19"/>
      <c r="BZ7" s="15"/>
      <c r="CA7" s="18"/>
      <c r="CB7" s="15"/>
      <c r="CC7" s="15"/>
      <c r="CD7" s="15"/>
      <c r="CE7" s="15"/>
      <c r="CF7" s="15"/>
      <c r="CG7" s="15"/>
      <c r="CH7" s="15"/>
      <c r="CI7" s="20"/>
      <c r="CJ7" s="19"/>
      <c r="CK7" s="15"/>
      <c r="CL7" s="18"/>
      <c r="CM7" s="15"/>
      <c r="CN7" s="15"/>
      <c r="CO7" s="15"/>
      <c r="CP7" s="15"/>
      <c r="CQ7" s="15"/>
      <c r="CR7" s="15"/>
      <c r="CS7" s="15"/>
      <c r="CT7" s="20"/>
      <c r="CU7" s="19"/>
      <c r="CV7" s="15"/>
      <c r="CW7" s="18"/>
      <c r="CX7" s="15"/>
      <c r="CY7" s="15"/>
      <c r="CZ7" s="15"/>
      <c r="DA7" s="15"/>
      <c r="DB7" s="15"/>
      <c r="DC7" s="15"/>
      <c r="DD7" s="15"/>
      <c r="DE7" s="20"/>
      <c r="DF7" s="19"/>
      <c r="DG7" s="15"/>
      <c r="DH7" s="18"/>
      <c r="DI7" s="15"/>
      <c r="DJ7" s="15"/>
      <c r="DK7" s="15"/>
      <c r="DL7" s="15"/>
      <c r="DM7" s="15"/>
      <c r="DN7" s="15"/>
      <c r="DO7" s="15"/>
      <c r="DP7" s="20"/>
      <c r="DQ7" s="19"/>
      <c r="DR7" s="15"/>
      <c r="DS7" s="18"/>
      <c r="DT7" s="15"/>
      <c r="DU7" s="15"/>
      <c r="DV7" s="15"/>
      <c r="DW7" s="15"/>
      <c r="DX7" s="15"/>
      <c r="DY7" s="15"/>
      <c r="DZ7" s="15"/>
      <c r="EA7" s="20"/>
      <c r="EB7" s="19"/>
      <c r="EC7" s="15"/>
      <c r="ED7" s="18"/>
      <c r="EE7" s="15"/>
      <c r="EF7" s="15"/>
      <c r="EG7" s="15"/>
      <c r="EH7" s="15"/>
      <c r="EI7" s="15"/>
      <c r="EJ7" s="15"/>
      <c r="EK7" s="15"/>
      <c r="EL7" s="20"/>
      <c r="EM7" s="19"/>
      <c r="EN7" s="15"/>
      <c r="EO7" s="18"/>
      <c r="EP7" s="15"/>
      <c r="EQ7" s="15"/>
      <c r="ER7" s="15"/>
      <c r="ES7" s="15"/>
      <c r="ET7" s="15"/>
      <c r="EU7" s="15"/>
      <c r="EV7" s="15"/>
      <c r="EW7" s="20"/>
      <c r="EX7" s="19"/>
      <c r="EY7" s="15"/>
      <c r="EZ7" s="18"/>
      <c r="FA7" s="15"/>
      <c r="FB7" s="15"/>
      <c r="FC7" s="15"/>
      <c r="FD7" s="15"/>
      <c r="FE7" s="15"/>
      <c r="FF7" s="15"/>
      <c r="FG7" s="15"/>
      <c r="FH7" s="20"/>
      <c r="FI7" s="19"/>
      <c r="FJ7" s="15"/>
      <c r="FK7" s="18"/>
      <c r="FL7" s="15"/>
      <c r="FM7" s="15"/>
      <c r="FN7" s="15"/>
      <c r="FO7" s="15"/>
      <c r="FP7" s="15"/>
      <c r="FQ7" s="15"/>
      <c r="FR7" s="15"/>
      <c r="FS7" s="20"/>
      <c r="FT7" s="19"/>
      <c r="FU7" s="15"/>
      <c r="FV7" s="18"/>
      <c r="FW7" s="15"/>
      <c r="FX7" s="15"/>
      <c r="FY7" s="15"/>
      <c r="FZ7" s="15"/>
      <c r="GA7" s="15"/>
      <c r="GB7" s="15"/>
      <c r="GC7" s="15"/>
      <c r="GD7" s="20"/>
      <c r="GE7" s="19"/>
      <c r="GF7" s="15"/>
      <c r="GG7" s="18"/>
      <c r="GH7" s="15"/>
      <c r="GI7" s="15"/>
      <c r="GJ7" s="15"/>
      <c r="GK7" s="15"/>
      <c r="GL7" s="15"/>
      <c r="GM7" s="15"/>
      <c r="GN7" s="15"/>
      <c r="GO7" s="20"/>
      <c r="GP7" s="19"/>
      <c r="GQ7" s="15"/>
      <c r="GR7" s="18"/>
      <c r="GS7" s="15"/>
      <c r="GT7" s="15"/>
      <c r="GU7" s="15"/>
      <c r="GV7" s="15"/>
      <c r="GW7" s="15"/>
      <c r="GX7" s="15"/>
      <c r="GY7" s="15"/>
      <c r="GZ7" s="20"/>
      <c r="HA7" s="19"/>
      <c r="HB7" s="15"/>
      <c r="HC7" s="18"/>
      <c r="HD7" s="15"/>
      <c r="HE7" s="15"/>
      <c r="HF7" s="15"/>
      <c r="HG7" s="15"/>
      <c r="HH7" s="15"/>
      <c r="HI7" s="15"/>
      <c r="HJ7" s="15"/>
      <c r="HK7" s="20"/>
      <c r="HL7" s="19"/>
      <c r="HM7" s="15"/>
      <c r="HN7" s="18"/>
      <c r="HO7" s="15"/>
      <c r="HP7" s="15"/>
      <c r="HQ7" s="15"/>
      <c r="HR7" s="15"/>
      <c r="HS7" s="15"/>
      <c r="HT7" s="15"/>
      <c r="HU7" s="15"/>
      <c r="HV7" s="20"/>
      <c r="HW7" s="19"/>
      <c r="HX7" s="15"/>
      <c r="HY7" s="18"/>
      <c r="HZ7" s="15"/>
      <c r="IA7" s="15"/>
      <c r="IB7" s="15"/>
      <c r="IC7" s="15"/>
      <c r="ID7" s="15"/>
      <c r="IE7" s="15"/>
      <c r="IF7" s="15"/>
      <c r="IG7" s="20"/>
      <c r="IH7" s="19"/>
      <c r="II7" s="15"/>
      <c r="IJ7" s="18"/>
      <c r="IK7" s="15"/>
    </row>
    <row r="8" spans="1:254" s="9" customFormat="1" ht="15" customHeight="1">
      <c r="A8" s="21" t="s">
        <v>611</v>
      </c>
      <c r="B8" s="26">
        <v>44712</v>
      </c>
      <c r="C8" s="31" t="s">
        <v>9</v>
      </c>
      <c r="D8" s="32" t="s">
        <v>542</v>
      </c>
      <c r="E8" s="24"/>
      <c r="F8" s="24">
        <v>32.47</v>
      </c>
      <c r="G8" s="24"/>
      <c r="H8" s="24"/>
      <c r="I8" s="24"/>
      <c r="J8" s="24"/>
      <c r="K8" s="24"/>
      <c r="L8" s="24"/>
      <c r="M8" s="29">
        <f t="shared" si="0"/>
        <v>32.47</v>
      </c>
      <c r="N8" s="18"/>
      <c r="O8" s="15"/>
      <c r="P8" s="15"/>
      <c r="Q8" s="15"/>
      <c r="R8" s="15"/>
      <c r="S8" s="15"/>
      <c r="T8" s="15"/>
      <c r="U8" s="20"/>
      <c r="V8" s="19"/>
      <c r="W8" s="15"/>
      <c r="X8" s="18"/>
      <c r="Y8" s="15"/>
      <c r="Z8" s="15"/>
      <c r="AA8" s="15"/>
      <c r="AB8" s="15"/>
      <c r="AC8" s="15"/>
      <c r="AD8" s="15"/>
      <c r="AE8" s="15"/>
      <c r="AF8" s="20"/>
      <c r="AG8" s="19"/>
      <c r="AH8" s="15"/>
      <c r="AI8" s="18"/>
      <c r="AJ8" s="15"/>
      <c r="AK8" s="15"/>
      <c r="AL8" s="15"/>
      <c r="AM8" s="15"/>
      <c r="AN8" s="15"/>
      <c r="AO8" s="15"/>
      <c r="AP8" s="15"/>
      <c r="AQ8" s="20"/>
      <c r="AR8" s="19"/>
      <c r="AS8" s="15"/>
      <c r="AT8" s="18"/>
      <c r="AU8" s="15"/>
      <c r="AV8" s="15"/>
      <c r="AW8" s="15"/>
      <c r="AX8" s="15"/>
      <c r="AY8" s="15"/>
      <c r="AZ8" s="15"/>
      <c r="BA8" s="15"/>
      <c r="BB8" s="20"/>
      <c r="BC8" s="19"/>
      <c r="BD8" s="15"/>
      <c r="BE8" s="18"/>
      <c r="BF8" s="15"/>
      <c r="BG8" s="15"/>
      <c r="BH8" s="15"/>
      <c r="BI8" s="15"/>
      <c r="BJ8" s="15"/>
      <c r="BK8" s="15"/>
      <c r="BL8" s="15"/>
      <c r="BM8" s="20"/>
      <c r="BN8" s="19"/>
      <c r="BO8" s="15"/>
      <c r="BP8" s="18"/>
      <c r="BQ8" s="15"/>
      <c r="BR8" s="15"/>
      <c r="BS8" s="15"/>
      <c r="BT8" s="15"/>
      <c r="BU8" s="15"/>
      <c r="BV8" s="15"/>
      <c r="BW8" s="15"/>
      <c r="BX8" s="20"/>
      <c r="BY8" s="19"/>
      <c r="BZ8" s="15"/>
      <c r="CA8" s="18"/>
      <c r="CB8" s="15"/>
      <c r="CC8" s="15"/>
      <c r="CD8" s="15"/>
      <c r="CE8" s="15"/>
      <c r="CF8" s="15"/>
      <c r="CG8" s="15"/>
      <c r="CH8" s="15"/>
      <c r="CI8" s="20"/>
      <c r="CJ8" s="19"/>
      <c r="CK8" s="15"/>
      <c r="CL8" s="18"/>
      <c r="CM8" s="15"/>
      <c r="CN8" s="15"/>
      <c r="CO8" s="15"/>
      <c r="CP8" s="15"/>
      <c r="CQ8" s="15"/>
      <c r="CR8" s="15"/>
      <c r="CS8" s="15"/>
      <c r="CT8" s="20"/>
      <c r="CU8" s="19"/>
      <c r="CV8" s="15"/>
      <c r="CW8" s="18"/>
      <c r="CX8" s="15"/>
      <c r="CY8" s="15"/>
      <c r="CZ8" s="15"/>
      <c r="DA8" s="15"/>
      <c r="DB8" s="15"/>
      <c r="DC8" s="15"/>
      <c r="DD8" s="15"/>
      <c r="DE8" s="20"/>
      <c r="DF8" s="19"/>
      <c r="DG8" s="15"/>
      <c r="DH8" s="18"/>
      <c r="DI8" s="15"/>
      <c r="DJ8" s="15"/>
      <c r="DK8" s="15"/>
      <c r="DL8" s="15"/>
      <c r="DM8" s="15"/>
      <c r="DN8" s="15"/>
      <c r="DO8" s="15"/>
      <c r="DP8" s="20"/>
      <c r="DQ8" s="19"/>
      <c r="DR8" s="15"/>
      <c r="DS8" s="18"/>
      <c r="DT8" s="15"/>
      <c r="DU8" s="15"/>
      <c r="DV8" s="15"/>
      <c r="DW8" s="15"/>
      <c r="DX8" s="15"/>
      <c r="DY8" s="15"/>
      <c r="DZ8" s="15"/>
      <c r="EA8" s="20"/>
      <c r="EB8" s="19"/>
      <c r="EC8" s="15"/>
      <c r="ED8" s="18"/>
      <c r="EE8" s="15"/>
      <c r="EF8" s="15"/>
      <c r="EG8" s="15"/>
      <c r="EH8" s="15"/>
      <c r="EI8" s="15"/>
      <c r="EJ8" s="15"/>
      <c r="EK8" s="15"/>
      <c r="EL8" s="20"/>
      <c r="EM8" s="19"/>
      <c r="EN8" s="15"/>
      <c r="EO8" s="18"/>
      <c r="EP8" s="15"/>
      <c r="EQ8" s="15"/>
      <c r="ER8" s="15"/>
      <c r="ES8" s="15"/>
      <c r="ET8" s="15"/>
      <c r="EU8" s="15"/>
      <c r="EV8" s="15"/>
      <c r="EW8" s="20"/>
      <c r="EX8" s="19"/>
      <c r="EY8" s="15"/>
      <c r="EZ8" s="18"/>
      <c r="FA8" s="15"/>
      <c r="FB8" s="15"/>
      <c r="FC8" s="15"/>
      <c r="FD8" s="15"/>
      <c r="FE8" s="15"/>
      <c r="FF8" s="15"/>
      <c r="FG8" s="15"/>
      <c r="FH8" s="20"/>
      <c r="FI8" s="19"/>
      <c r="FJ8" s="15"/>
      <c r="FK8" s="18"/>
      <c r="FL8" s="15"/>
      <c r="FM8" s="15"/>
      <c r="FN8" s="15"/>
      <c r="FO8" s="15"/>
      <c r="FP8" s="15"/>
      <c r="FQ8" s="15"/>
      <c r="FR8" s="15"/>
      <c r="FS8" s="20"/>
      <c r="FT8" s="19"/>
      <c r="FU8" s="15"/>
      <c r="FV8" s="18"/>
      <c r="FW8" s="15"/>
      <c r="FX8" s="15"/>
      <c r="FY8" s="15"/>
      <c r="FZ8" s="15"/>
      <c r="GA8" s="15"/>
      <c r="GB8" s="15"/>
      <c r="GC8" s="15"/>
      <c r="GD8" s="20"/>
      <c r="GE8" s="19"/>
      <c r="GF8" s="15"/>
      <c r="GG8" s="18"/>
      <c r="GH8" s="15"/>
      <c r="GI8" s="15"/>
      <c r="GJ8" s="15"/>
      <c r="GK8" s="15"/>
      <c r="GL8" s="15"/>
      <c r="GM8" s="15"/>
      <c r="GN8" s="15"/>
      <c r="GO8" s="20"/>
      <c r="GP8" s="19"/>
      <c r="GQ8" s="15"/>
      <c r="GR8" s="18"/>
      <c r="GS8" s="15"/>
      <c r="GT8" s="15"/>
      <c r="GU8" s="15"/>
      <c r="GV8" s="15"/>
      <c r="GW8" s="15"/>
      <c r="GX8" s="15"/>
      <c r="GY8" s="15"/>
      <c r="GZ8" s="20"/>
      <c r="HA8" s="19"/>
      <c r="HB8" s="15"/>
      <c r="HC8" s="18"/>
      <c r="HD8" s="15"/>
      <c r="HE8" s="15"/>
      <c r="HF8" s="15"/>
      <c r="HG8" s="15"/>
      <c r="HH8" s="15"/>
      <c r="HI8" s="15"/>
      <c r="HJ8" s="15"/>
      <c r="HK8" s="20"/>
      <c r="HL8" s="19"/>
      <c r="HM8" s="15"/>
      <c r="HN8" s="18"/>
      <c r="HO8" s="15"/>
      <c r="HP8" s="15"/>
      <c r="HQ8" s="15"/>
      <c r="HR8" s="15"/>
      <c r="HS8" s="15"/>
      <c r="HT8" s="15"/>
      <c r="HU8" s="15"/>
      <c r="HV8" s="20"/>
      <c r="HW8" s="19"/>
      <c r="HX8" s="15"/>
      <c r="HY8" s="18"/>
      <c r="HZ8" s="15"/>
      <c r="IA8" s="15"/>
      <c r="IB8" s="15"/>
      <c r="IC8" s="15"/>
      <c r="ID8" s="15"/>
      <c r="IE8" s="15"/>
      <c r="IF8" s="15"/>
      <c r="IG8" s="20"/>
      <c r="IH8" s="19"/>
      <c r="II8" s="15"/>
      <c r="IJ8" s="18"/>
      <c r="IK8" s="15"/>
    </row>
    <row r="9" spans="1:254" s="10" customFormat="1" ht="15" customHeight="1">
      <c r="A9" s="21" t="s">
        <v>216</v>
      </c>
      <c r="B9" s="169">
        <v>44742</v>
      </c>
      <c r="C9" s="170" t="s">
        <v>9</v>
      </c>
      <c r="D9" s="517" t="s">
        <v>467</v>
      </c>
      <c r="E9" s="175"/>
      <c r="F9" s="175">
        <v>46.94</v>
      </c>
      <c r="G9" s="175"/>
      <c r="H9" s="175"/>
      <c r="I9" s="175"/>
      <c r="J9" s="175"/>
      <c r="K9" s="175"/>
      <c r="L9" s="175"/>
      <c r="M9" s="172">
        <f t="shared" si="0"/>
        <v>46.94</v>
      </c>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row>
    <row r="10" spans="1:254" s="9" customFormat="1" ht="15" customHeight="1">
      <c r="A10" s="21" t="s">
        <v>219</v>
      </c>
      <c r="B10" s="26">
        <v>44742</v>
      </c>
      <c r="C10" s="31" t="s">
        <v>9</v>
      </c>
      <c r="D10" s="32" t="s">
        <v>542</v>
      </c>
      <c r="E10" s="24"/>
      <c r="F10" s="24">
        <v>45.51</v>
      </c>
      <c r="G10" s="24"/>
      <c r="H10" s="24"/>
      <c r="I10" s="24"/>
      <c r="J10" s="24"/>
      <c r="K10" s="24"/>
      <c r="L10" s="24"/>
      <c r="M10" s="29">
        <f t="shared" si="0"/>
        <v>45.51</v>
      </c>
      <c r="N10" s="12"/>
      <c r="O10" s="12"/>
      <c r="P10" s="12"/>
      <c r="Q10" s="12"/>
      <c r="R10" s="12"/>
      <c r="S10" s="12"/>
      <c r="T10" s="12"/>
      <c r="U10" s="11"/>
    </row>
    <row r="11" spans="1:254" s="9" customFormat="1" ht="15" customHeight="1">
      <c r="A11" s="21" t="s">
        <v>220</v>
      </c>
      <c r="B11" s="169">
        <v>44761</v>
      </c>
      <c r="C11" s="170" t="s">
        <v>596</v>
      </c>
      <c r="D11" s="171" t="s">
        <v>505</v>
      </c>
      <c r="E11" s="175"/>
      <c r="F11" s="175"/>
      <c r="G11" s="175"/>
      <c r="H11" s="175"/>
      <c r="I11" s="175"/>
      <c r="J11" s="175"/>
      <c r="K11" s="175"/>
      <c r="L11" s="175">
        <v>3809.88</v>
      </c>
      <c r="M11" s="172">
        <f t="shared" si="0"/>
        <v>3809.88</v>
      </c>
    </row>
    <row r="12" spans="1:254" s="9" customFormat="1" ht="15" customHeight="1">
      <c r="A12" s="21" t="s">
        <v>221</v>
      </c>
      <c r="B12" s="26">
        <v>44771</v>
      </c>
      <c r="C12" s="518" t="s">
        <v>9</v>
      </c>
      <c r="D12" s="32" t="s">
        <v>542</v>
      </c>
      <c r="E12" s="24"/>
      <c r="F12" s="24">
        <v>62.81</v>
      </c>
      <c r="G12" s="24"/>
      <c r="H12" s="24"/>
      <c r="I12" s="24"/>
      <c r="J12" s="24"/>
      <c r="K12" s="24"/>
      <c r="L12" s="24"/>
      <c r="M12" s="29">
        <f t="shared" si="0"/>
        <v>62.81</v>
      </c>
    </row>
    <row r="13" spans="1:254" s="9" customFormat="1" ht="15" customHeight="1">
      <c r="A13" s="21" t="s">
        <v>213</v>
      </c>
      <c r="B13" s="169">
        <v>44785</v>
      </c>
      <c r="C13" s="170" t="s">
        <v>608</v>
      </c>
      <c r="D13" s="171" t="s">
        <v>505</v>
      </c>
      <c r="E13" s="175"/>
      <c r="F13" s="175"/>
      <c r="G13" s="175"/>
      <c r="H13" s="175"/>
      <c r="I13" s="175"/>
      <c r="J13" s="175"/>
      <c r="K13" s="175">
        <v>8000</v>
      </c>
      <c r="L13" s="175"/>
      <c r="M13" s="172">
        <f t="shared" si="0"/>
        <v>8000</v>
      </c>
    </row>
    <row r="14" spans="1:254" s="10" customFormat="1" ht="15" customHeight="1">
      <c r="A14" s="21" t="s">
        <v>222</v>
      </c>
      <c r="B14" s="26">
        <v>44788</v>
      </c>
      <c r="C14" s="31" t="s">
        <v>609</v>
      </c>
      <c r="D14" s="32" t="s">
        <v>505</v>
      </c>
      <c r="E14" s="24"/>
      <c r="F14" s="24"/>
      <c r="G14" s="24"/>
      <c r="H14" s="24"/>
      <c r="I14" s="24"/>
      <c r="J14" s="24">
        <v>5000</v>
      </c>
      <c r="K14" s="24"/>
      <c r="L14" s="24"/>
      <c r="M14" s="362">
        <f t="shared" si="0"/>
        <v>5000</v>
      </c>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row>
    <row r="15" spans="1:254" s="9" customFormat="1" ht="15" customHeight="1">
      <c r="A15" s="21" t="s">
        <v>612</v>
      </c>
      <c r="B15" s="169">
        <v>44796</v>
      </c>
      <c r="C15" s="173" t="s">
        <v>610</v>
      </c>
      <c r="D15" s="171" t="s">
        <v>467</v>
      </c>
      <c r="E15" s="175"/>
      <c r="F15" s="175"/>
      <c r="G15" s="175">
        <v>32</v>
      </c>
      <c r="H15" s="175"/>
      <c r="I15" s="175"/>
      <c r="J15" s="175"/>
      <c r="K15" s="175"/>
      <c r="L15" s="175"/>
      <c r="M15" s="172">
        <f t="shared" si="0"/>
        <v>32</v>
      </c>
    </row>
    <row r="16" spans="1:254" s="10" customFormat="1" ht="15" customHeight="1">
      <c r="A16" s="21" t="s">
        <v>212</v>
      </c>
      <c r="B16" s="26">
        <v>44804</v>
      </c>
      <c r="C16" s="31" t="s">
        <v>9</v>
      </c>
      <c r="D16" s="32" t="s">
        <v>542</v>
      </c>
      <c r="E16" s="24"/>
      <c r="F16" s="24">
        <v>82.72</v>
      </c>
      <c r="G16" s="24"/>
      <c r="H16" s="24"/>
      <c r="I16" s="24"/>
      <c r="J16" s="24"/>
      <c r="K16" s="24"/>
      <c r="L16" s="24"/>
      <c r="M16" s="362">
        <f t="shared" si="0"/>
        <v>82.72</v>
      </c>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row>
    <row r="17" spans="1:254" s="9" customFormat="1" ht="15" customHeight="1">
      <c r="A17" s="21" t="s">
        <v>215</v>
      </c>
      <c r="B17" s="169">
        <v>44834</v>
      </c>
      <c r="C17" s="174" t="s">
        <v>9</v>
      </c>
      <c r="D17" s="171" t="s">
        <v>542</v>
      </c>
      <c r="E17" s="175"/>
      <c r="F17" s="175">
        <v>111.22</v>
      </c>
      <c r="G17" s="175"/>
      <c r="H17" s="175"/>
      <c r="I17" s="175"/>
      <c r="J17" s="175"/>
      <c r="K17" s="175"/>
      <c r="L17" s="175"/>
      <c r="M17" s="172">
        <f t="shared" si="0"/>
        <v>111.22</v>
      </c>
    </row>
    <row r="18" spans="1:254" s="9" customFormat="1" ht="15" customHeight="1">
      <c r="A18" s="21" t="s">
        <v>223</v>
      </c>
      <c r="B18" s="26">
        <v>44834</v>
      </c>
      <c r="C18" s="31" t="s">
        <v>9</v>
      </c>
      <c r="D18" s="32" t="s">
        <v>467</v>
      </c>
      <c r="E18" s="24"/>
      <c r="F18" s="24">
        <v>58.35</v>
      </c>
      <c r="G18" s="24"/>
      <c r="H18" s="24"/>
      <c r="I18" s="24"/>
      <c r="J18" s="24"/>
      <c r="K18" s="24"/>
      <c r="L18" s="33"/>
      <c r="M18" s="362">
        <f t="shared" si="0"/>
        <v>58.35</v>
      </c>
      <c r="N18" s="11"/>
      <c r="O18" s="11"/>
      <c r="P18" s="11"/>
      <c r="Q18" s="11"/>
      <c r="R18" s="11"/>
      <c r="S18" s="11"/>
      <c r="T18" s="11"/>
      <c r="U18" s="11"/>
    </row>
    <row r="19" spans="1:254" s="9" customFormat="1" ht="14.25" customHeight="1">
      <c r="A19" s="21" t="s">
        <v>224</v>
      </c>
      <c r="B19" s="169">
        <v>44865</v>
      </c>
      <c r="C19" s="174" t="s">
        <v>9</v>
      </c>
      <c r="D19" s="171" t="s">
        <v>542</v>
      </c>
      <c r="E19" s="175"/>
      <c r="F19" s="175">
        <v>116.16</v>
      </c>
      <c r="G19" s="175"/>
      <c r="H19" s="175"/>
      <c r="I19" s="175"/>
      <c r="J19" s="175"/>
      <c r="K19" s="175"/>
      <c r="L19" s="175"/>
      <c r="M19" s="172">
        <f t="shared" si="0"/>
        <v>116.16</v>
      </c>
      <c r="N19" s="11"/>
      <c r="O19" s="11"/>
      <c r="P19" s="11"/>
      <c r="Q19" s="11"/>
      <c r="R19" s="11"/>
      <c r="S19" s="11"/>
      <c r="T19" s="11"/>
      <c r="U19" s="11"/>
    </row>
    <row r="20" spans="1:254" s="9" customFormat="1" ht="15" customHeight="1">
      <c r="A20" s="21" t="s">
        <v>214</v>
      </c>
      <c r="B20" s="26">
        <v>44895</v>
      </c>
      <c r="C20" s="31" t="s">
        <v>9</v>
      </c>
      <c r="D20" s="32" t="s">
        <v>542</v>
      </c>
      <c r="E20" s="24"/>
      <c r="F20" s="24">
        <v>150.56</v>
      </c>
      <c r="G20" s="24"/>
      <c r="H20" s="24"/>
      <c r="I20" s="24"/>
      <c r="J20" s="24"/>
      <c r="K20" s="24"/>
      <c r="L20" s="33"/>
      <c r="M20" s="29">
        <f t="shared" si="0"/>
        <v>150.56</v>
      </c>
      <c r="N20" s="11"/>
      <c r="O20" s="11"/>
      <c r="P20" s="11"/>
      <c r="Q20" s="11"/>
      <c r="R20" s="11"/>
      <c r="S20" s="11"/>
      <c r="T20" s="11"/>
      <c r="U20" s="11"/>
    </row>
    <row r="21" spans="1:254" s="9" customFormat="1" ht="15" customHeight="1">
      <c r="A21" s="21" t="s">
        <v>225</v>
      </c>
      <c r="B21" s="169">
        <v>44926</v>
      </c>
      <c r="C21" s="174" t="s">
        <v>9</v>
      </c>
      <c r="D21" s="171" t="s">
        <v>467</v>
      </c>
      <c r="E21" s="175"/>
      <c r="F21" s="175">
        <v>114.94</v>
      </c>
      <c r="G21" s="175"/>
      <c r="H21" s="175"/>
      <c r="I21" s="175"/>
      <c r="J21" s="175"/>
      <c r="K21" s="175"/>
      <c r="L21" s="175"/>
      <c r="M21" s="172">
        <f t="shared" si="0"/>
        <v>114.94</v>
      </c>
      <c r="N21" s="11"/>
      <c r="O21" s="11"/>
      <c r="P21" s="11"/>
      <c r="Q21" s="11"/>
      <c r="R21" s="11"/>
      <c r="S21" s="11"/>
      <c r="T21" s="11"/>
      <c r="U21" s="11"/>
    </row>
    <row r="22" spans="1:254" s="9" customFormat="1" ht="15" customHeight="1">
      <c r="A22" s="21" t="s">
        <v>226</v>
      </c>
      <c r="B22" s="26">
        <v>44916</v>
      </c>
      <c r="C22" s="30" t="s">
        <v>9</v>
      </c>
      <c r="D22" s="32" t="s">
        <v>542</v>
      </c>
      <c r="E22" s="24"/>
      <c r="F22" s="24">
        <v>182.07</v>
      </c>
      <c r="G22" s="24"/>
      <c r="H22" s="24"/>
      <c r="I22" s="24"/>
      <c r="J22" s="24"/>
      <c r="K22" s="24"/>
      <c r="L22" s="33"/>
      <c r="M22" s="29">
        <f t="shared" si="0"/>
        <v>182.07</v>
      </c>
      <c r="N22" s="11"/>
      <c r="O22" s="11"/>
      <c r="P22" s="11"/>
      <c r="Q22" s="11"/>
      <c r="R22" s="11"/>
      <c r="S22" s="11"/>
      <c r="T22" s="11"/>
      <c r="U22" s="11"/>
    </row>
    <row r="23" spans="1:254" s="9" customFormat="1" ht="15" customHeight="1">
      <c r="A23" s="21" t="s">
        <v>227</v>
      </c>
      <c r="B23" s="169">
        <v>44929</v>
      </c>
      <c r="C23" s="174" t="s">
        <v>610</v>
      </c>
      <c r="D23" s="171" t="s">
        <v>467</v>
      </c>
      <c r="E23" s="175"/>
      <c r="F23" s="175"/>
      <c r="G23" s="175">
        <v>12</v>
      </c>
      <c r="H23" s="175"/>
      <c r="I23" s="175"/>
      <c r="J23" s="175"/>
      <c r="K23" s="175"/>
      <c r="L23" s="175"/>
      <c r="M23" s="172">
        <f t="shared" si="0"/>
        <v>12</v>
      </c>
      <c r="N23" s="11"/>
      <c r="O23" s="11"/>
      <c r="P23" s="11"/>
      <c r="Q23" s="11"/>
      <c r="R23" s="11"/>
      <c r="S23" s="11"/>
      <c r="T23" s="11"/>
      <c r="U23" s="11"/>
    </row>
    <row r="24" spans="1:254" s="10" customFormat="1" ht="15" customHeight="1">
      <c r="A24" s="21" t="s">
        <v>687</v>
      </c>
      <c r="B24" s="26">
        <v>44929</v>
      </c>
      <c r="C24" s="518" t="s">
        <v>610</v>
      </c>
      <c r="D24" s="32" t="s">
        <v>467</v>
      </c>
      <c r="E24" s="24"/>
      <c r="F24" s="24"/>
      <c r="G24" s="24">
        <v>12</v>
      </c>
      <c r="H24" s="24"/>
      <c r="I24" s="24"/>
      <c r="J24" s="24"/>
      <c r="K24" s="24"/>
      <c r="L24" s="24"/>
      <c r="M24" s="362">
        <f>SUM(E24:L24)</f>
        <v>12</v>
      </c>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row>
    <row r="25" spans="1:254" s="9" customFormat="1" ht="15" customHeight="1">
      <c r="A25" s="21" t="s">
        <v>228</v>
      </c>
      <c r="B25" s="169">
        <v>44929</v>
      </c>
      <c r="C25" s="174" t="s">
        <v>610</v>
      </c>
      <c r="D25" s="171" t="s">
        <v>467</v>
      </c>
      <c r="E25" s="175"/>
      <c r="F25" s="175"/>
      <c r="G25" s="175">
        <v>12</v>
      </c>
      <c r="H25" s="175"/>
      <c r="I25" s="175"/>
      <c r="J25" s="175"/>
      <c r="K25" s="175"/>
      <c r="L25" s="175"/>
      <c r="M25" s="172">
        <f t="shared" si="0"/>
        <v>12</v>
      </c>
      <c r="N25" s="11"/>
      <c r="O25" s="11"/>
      <c r="P25" s="11"/>
      <c r="Q25" s="11"/>
      <c r="R25" s="11"/>
      <c r="S25" s="11"/>
      <c r="T25" s="11"/>
      <c r="U25" s="11"/>
    </row>
    <row r="26" spans="1:254" s="9" customFormat="1" ht="15" customHeight="1">
      <c r="A26" s="21" t="s">
        <v>229</v>
      </c>
      <c r="B26" s="26">
        <v>44932</v>
      </c>
      <c r="C26" s="30" t="s">
        <v>610</v>
      </c>
      <c r="D26" s="32" t="s">
        <v>467</v>
      </c>
      <c r="E26" s="24"/>
      <c r="F26" s="24"/>
      <c r="G26" s="24">
        <v>12</v>
      </c>
      <c r="H26" s="24"/>
      <c r="I26" s="24"/>
      <c r="J26" s="24"/>
      <c r="K26" s="24"/>
      <c r="L26" s="24"/>
      <c r="M26" s="362">
        <f t="shared" si="0"/>
        <v>12</v>
      </c>
      <c r="N26" s="11"/>
      <c r="O26" s="11"/>
      <c r="P26" s="11"/>
      <c r="Q26" s="11"/>
      <c r="R26" s="11"/>
      <c r="S26" s="11"/>
      <c r="T26" s="11"/>
      <c r="U26" s="11"/>
    </row>
    <row r="27" spans="1:254" s="9" customFormat="1" ht="15" customHeight="1">
      <c r="A27" s="21" t="s">
        <v>230</v>
      </c>
      <c r="B27" s="169">
        <v>44935</v>
      </c>
      <c r="C27" s="174" t="s">
        <v>610</v>
      </c>
      <c r="D27" s="171" t="s">
        <v>467</v>
      </c>
      <c r="E27" s="175"/>
      <c r="F27" s="175"/>
      <c r="G27" s="175">
        <v>12</v>
      </c>
      <c r="H27" s="175"/>
      <c r="I27" s="175"/>
      <c r="J27" s="175"/>
      <c r="K27" s="175"/>
      <c r="L27" s="175"/>
      <c r="M27" s="172">
        <f t="shared" si="0"/>
        <v>12</v>
      </c>
      <c r="N27" s="106"/>
      <c r="O27"/>
      <c r="P27" s="79"/>
      <c r="Q27" s="11"/>
      <c r="R27" s="11"/>
      <c r="S27" s="11"/>
      <c r="T27" s="11"/>
      <c r="U27" s="11"/>
    </row>
    <row r="28" spans="1:254" s="9" customFormat="1" ht="15" customHeight="1">
      <c r="A28" s="21" t="s">
        <v>231</v>
      </c>
      <c r="B28" s="26">
        <v>44935</v>
      </c>
      <c r="C28" s="30" t="s">
        <v>610</v>
      </c>
      <c r="D28" s="32" t="s">
        <v>467</v>
      </c>
      <c r="E28" s="24"/>
      <c r="F28" s="24"/>
      <c r="G28" s="24">
        <v>24</v>
      </c>
      <c r="H28" s="24"/>
      <c r="I28" s="24"/>
      <c r="J28" s="24"/>
      <c r="K28" s="24"/>
      <c r="L28" s="24"/>
      <c r="M28" s="362">
        <f t="shared" si="0"/>
        <v>24</v>
      </c>
      <c r="N28" s="106"/>
      <c r="O28"/>
      <c r="P28" s="79"/>
      <c r="Q28" s="11"/>
      <c r="R28" s="11"/>
      <c r="S28" s="11"/>
      <c r="T28" s="11"/>
      <c r="U28" s="11"/>
    </row>
    <row r="29" spans="1:254" s="9" customFormat="1" ht="15" customHeight="1">
      <c r="A29" s="21" t="s">
        <v>232</v>
      </c>
      <c r="B29" s="169">
        <v>44949</v>
      </c>
      <c r="C29" s="174" t="s">
        <v>686</v>
      </c>
      <c r="D29" s="171" t="s">
        <v>467</v>
      </c>
      <c r="E29" s="175"/>
      <c r="F29" s="175"/>
      <c r="G29" s="175"/>
      <c r="H29" s="175"/>
      <c r="I29" s="175"/>
      <c r="J29" s="175">
        <v>125.55</v>
      </c>
      <c r="K29" s="175"/>
      <c r="L29" s="175"/>
      <c r="M29" s="172">
        <f t="shared" si="0"/>
        <v>125.55</v>
      </c>
      <c r="N29" s="106"/>
      <c r="O29"/>
      <c r="P29" s="79"/>
      <c r="Q29" s="11"/>
      <c r="R29" s="11"/>
      <c r="S29" s="11"/>
      <c r="T29" s="11"/>
      <c r="U29" s="11"/>
    </row>
    <row r="30" spans="1:254" s="9" customFormat="1" ht="15" customHeight="1">
      <c r="A30" s="21" t="s">
        <v>688</v>
      </c>
      <c r="B30" s="26">
        <v>44957</v>
      </c>
      <c r="C30" s="30" t="s">
        <v>9</v>
      </c>
      <c r="D30" s="32" t="s">
        <v>542</v>
      </c>
      <c r="E30" s="24"/>
      <c r="F30" s="24">
        <v>197.3</v>
      </c>
      <c r="G30" s="24"/>
      <c r="H30" s="24"/>
      <c r="I30" s="24"/>
      <c r="J30" s="24"/>
      <c r="K30" s="24"/>
      <c r="L30" s="24"/>
      <c r="M30" s="362">
        <f t="shared" si="0"/>
        <v>197.3</v>
      </c>
      <c r="N30" s="106"/>
      <c r="O30"/>
      <c r="P30" s="79"/>
      <c r="Q30" s="11"/>
      <c r="R30" s="11"/>
      <c r="S30" s="11"/>
      <c r="T30" s="11"/>
      <c r="U30" s="11"/>
    </row>
    <row r="31" spans="1:254" s="9" customFormat="1" ht="15" customHeight="1">
      <c r="A31" s="21" t="s">
        <v>519</v>
      </c>
      <c r="B31" s="169">
        <v>44963</v>
      </c>
      <c r="C31" s="174" t="s">
        <v>610</v>
      </c>
      <c r="D31" s="171" t="s">
        <v>467</v>
      </c>
      <c r="E31" s="175"/>
      <c r="F31" s="175"/>
      <c r="G31" s="175">
        <v>20</v>
      </c>
      <c r="H31" s="175"/>
      <c r="I31" s="175"/>
      <c r="J31" s="175"/>
      <c r="K31" s="175"/>
      <c r="L31" s="175"/>
      <c r="M31" s="172">
        <f t="shared" si="0"/>
        <v>20</v>
      </c>
      <c r="N31" s="106"/>
      <c r="O31"/>
      <c r="P31" s="79"/>
      <c r="Q31" s="11"/>
      <c r="R31" s="11"/>
      <c r="S31" s="11"/>
      <c r="T31" s="11"/>
      <c r="U31" s="11"/>
    </row>
    <row r="32" spans="1:254" s="9" customFormat="1" ht="15" customHeight="1">
      <c r="A32" s="21" t="s">
        <v>689</v>
      </c>
      <c r="B32" s="26">
        <v>44963</v>
      </c>
      <c r="C32" s="30" t="s">
        <v>610</v>
      </c>
      <c r="D32" s="32" t="s">
        <v>467</v>
      </c>
      <c r="E32" s="24"/>
      <c r="F32" s="24"/>
      <c r="G32" s="24">
        <v>20</v>
      </c>
      <c r="H32" s="24"/>
      <c r="I32" s="24"/>
      <c r="J32" s="24"/>
      <c r="K32" s="24"/>
      <c r="L32" s="24"/>
      <c r="M32" s="362">
        <f t="shared" si="0"/>
        <v>20</v>
      </c>
      <c r="N32" s="106"/>
      <c r="O32"/>
      <c r="P32" s="79"/>
      <c r="Q32" s="11"/>
      <c r="R32" s="11"/>
      <c r="S32" s="11"/>
      <c r="T32" s="11"/>
      <c r="U32" s="11"/>
    </row>
    <row r="33" spans="1:21" s="9" customFormat="1" ht="15" customHeight="1">
      <c r="A33" s="21" t="s">
        <v>690</v>
      </c>
      <c r="B33" s="169">
        <v>44985</v>
      </c>
      <c r="C33" s="174" t="s">
        <v>9</v>
      </c>
      <c r="D33" s="171" t="s">
        <v>542</v>
      </c>
      <c r="E33" s="175"/>
      <c r="F33" s="175">
        <v>185</v>
      </c>
      <c r="G33" s="175"/>
      <c r="H33" s="175"/>
      <c r="I33" s="175"/>
      <c r="J33" s="175"/>
      <c r="K33" s="175"/>
      <c r="L33" s="175"/>
      <c r="M33" s="172">
        <f t="shared" si="0"/>
        <v>185</v>
      </c>
      <c r="N33" s="106"/>
      <c r="O33"/>
      <c r="P33" s="79"/>
      <c r="Q33" s="11"/>
      <c r="R33" s="11"/>
      <c r="S33" s="11"/>
      <c r="T33" s="11"/>
      <c r="U33" s="11"/>
    </row>
    <row r="34" spans="1:21" s="9" customFormat="1" ht="15" customHeight="1">
      <c r="A34" s="21"/>
      <c r="B34" s="26">
        <v>44991</v>
      </c>
      <c r="C34" s="30" t="s">
        <v>610</v>
      </c>
      <c r="D34" s="32" t="s">
        <v>467</v>
      </c>
      <c r="E34" s="24"/>
      <c r="F34" s="24"/>
      <c r="G34" s="24">
        <v>44</v>
      </c>
      <c r="H34" s="24"/>
      <c r="I34" s="24"/>
      <c r="J34" s="24"/>
      <c r="K34" s="24"/>
      <c r="L34" s="24"/>
      <c r="M34" s="362">
        <f t="shared" si="0"/>
        <v>44</v>
      </c>
      <c r="N34" s="106"/>
      <c r="O34"/>
      <c r="P34" s="79"/>
      <c r="Q34" s="11"/>
      <c r="R34" s="11"/>
      <c r="S34" s="11"/>
      <c r="T34" s="11"/>
      <c r="U34" s="11"/>
    </row>
    <row r="35" spans="1:21" s="9" customFormat="1" ht="15" customHeight="1">
      <c r="A35" s="9" t="s">
        <v>691</v>
      </c>
      <c r="B35" s="169">
        <v>45015</v>
      </c>
      <c r="C35" s="174" t="s">
        <v>610</v>
      </c>
      <c r="D35" s="171"/>
      <c r="E35" s="175"/>
      <c r="F35" s="175"/>
      <c r="G35" s="175">
        <v>72</v>
      </c>
      <c r="H35" s="175"/>
      <c r="I35" s="175"/>
      <c r="J35" s="175"/>
      <c r="K35" s="175"/>
      <c r="L35" s="175"/>
      <c r="M35" s="172">
        <f t="shared" si="0"/>
        <v>72</v>
      </c>
      <c r="N35" s="106"/>
      <c r="O35"/>
      <c r="P35" s="83"/>
      <c r="Q35" s="11"/>
      <c r="R35" s="11"/>
      <c r="S35" s="11"/>
      <c r="T35" s="11"/>
      <c r="U35" s="11"/>
    </row>
    <row r="36" spans="1:21" s="9" customFormat="1" ht="15" customHeight="1">
      <c r="B36" s="26">
        <v>45016</v>
      </c>
      <c r="C36" s="30" t="s">
        <v>9</v>
      </c>
      <c r="D36" s="32" t="s">
        <v>467</v>
      </c>
      <c r="E36" s="24"/>
      <c r="F36" s="24">
        <v>128.87</v>
      </c>
      <c r="G36" s="24"/>
      <c r="H36" s="24"/>
      <c r="I36" s="24"/>
      <c r="J36" s="24"/>
      <c r="K36" s="24"/>
      <c r="L36" s="24"/>
      <c r="M36" s="362">
        <f t="shared" si="0"/>
        <v>128.87</v>
      </c>
      <c r="N36" s="106"/>
      <c r="O36"/>
      <c r="P36" s="83"/>
      <c r="Q36" s="11"/>
      <c r="R36" s="11"/>
      <c r="S36" s="11"/>
      <c r="T36" s="11"/>
      <c r="U36" s="11"/>
    </row>
    <row r="37" spans="1:21" s="9" customFormat="1" ht="15" customHeight="1">
      <c r="B37" s="169">
        <v>45016</v>
      </c>
      <c r="C37" s="174" t="s">
        <v>9</v>
      </c>
      <c r="D37" s="171" t="s">
        <v>542</v>
      </c>
      <c r="E37" s="175"/>
      <c r="F37" s="175">
        <v>205.26</v>
      </c>
      <c r="G37" s="175"/>
      <c r="H37" s="175"/>
      <c r="I37" s="175"/>
      <c r="J37" s="175"/>
      <c r="K37" s="175"/>
      <c r="L37" s="175"/>
      <c r="M37" s="172">
        <f t="shared" si="0"/>
        <v>205.26</v>
      </c>
      <c r="N37" s="106"/>
      <c r="O37"/>
      <c r="P37" s="83"/>
      <c r="Q37" s="11"/>
      <c r="R37" s="11"/>
      <c r="S37" s="11"/>
      <c r="T37" s="11"/>
      <c r="U37" s="11"/>
    </row>
    <row r="38" spans="1:21" s="9" customFormat="1" ht="15" customHeight="1">
      <c r="B38" s="26"/>
      <c r="C38" s="30"/>
      <c r="D38" s="32"/>
      <c r="E38" s="24"/>
      <c r="F38" s="24"/>
      <c r="G38" s="24"/>
      <c r="H38" s="24"/>
      <c r="I38" s="24"/>
      <c r="J38" s="24"/>
      <c r="K38" s="24"/>
      <c r="L38" s="24"/>
      <c r="M38" s="362">
        <f t="shared" si="0"/>
        <v>0</v>
      </c>
      <c r="N38" s="106"/>
      <c r="O38"/>
      <c r="P38" s="83"/>
      <c r="Q38" s="11"/>
      <c r="R38" s="11"/>
      <c r="S38" s="11"/>
      <c r="T38" s="11"/>
      <c r="U38" s="11"/>
    </row>
    <row r="39" spans="1:21" s="9" customFormat="1" ht="15" hidden="1" customHeight="1">
      <c r="B39" s="169"/>
      <c r="C39" s="174"/>
      <c r="D39" s="171"/>
      <c r="E39" s="175"/>
      <c r="F39" s="175"/>
      <c r="G39" s="175"/>
      <c r="H39" s="175"/>
      <c r="I39" s="175"/>
      <c r="J39" s="175"/>
      <c r="K39" s="175"/>
      <c r="L39" s="175"/>
      <c r="M39" s="172">
        <f t="shared" si="0"/>
        <v>0</v>
      </c>
      <c r="N39" s="106"/>
      <c r="O39"/>
      <c r="P39" s="83"/>
      <c r="Q39" s="11"/>
      <c r="R39" s="11"/>
      <c r="S39" s="11"/>
      <c r="T39" s="11"/>
      <c r="U39" s="11"/>
    </row>
    <row r="40" spans="1:21" s="9" customFormat="1" ht="15" hidden="1" customHeight="1" thickBot="1">
      <c r="B40" s="26"/>
      <c r="C40" s="31"/>
      <c r="D40" s="32"/>
      <c r="E40" s="24"/>
      <c r="F40" s="24"/>
      <c r="G40" s="24"/>
      <c r="H40" s="24"/>
      <c r="I40" s="24"/>
      <c r="J40" s="24"/>
      <c r="K40" s="24"/>
      <c r="L40" s="24"/>
      <c r="M40" s="362">
        <f t="shared" si="0"/>
        <v>0</v>
      </c>
      <c r="N40" s="4"/>
      <c r="O40" s="4"/>
      <c r="P40" s="4"/>
      <c r="Q40" s="11"/>
      <c r="R40" s="11"/>
      <c r="S40" s="11"/>
      <c r="T40" s="11"/>
      <c r="U40" s="11"/>
    </row>
    <row r="41" spans="1:21" s="9" customFormat="1" ht="15" hidden="1" customHeight="1" thickBot="1">
      <c r="B41" s="169"/>
      <c r="C41" s="174"/>
      <c r="D41" s="171"/>
      <c r="E41" s="175"/>
      <c r="F41" s="175"/>
      <c r="G41" s="175"/>
      <c r="H41" s="175"/>
      <c r="I41" s="175"/>
      <c r="J41" s="175"/>
      <c r="K41" s="175"/>
      <c r="L41" s="175"/>
      <c r="M41" s="172">
        <f t="shared" si="0"/>
        <v>0</v>
      </c>
      <c r="N41" s="4"/>
      <c r="O41" s="4"/>
      <c r="P41" s="4"/>
      <c r="Q41" s="11"/>
      <c r="R41" s="11"/>
      <c r="S41" s="11"/>
      <c r="T41" s="11"/>
      <c r="U41" s="11"/>
    </row>
    <row r="42" spans="1:21" s="9" customFormat="1" ht="15" hidden="1" customHeight="1" thickBot="1">
      <c r="B42" s="26"/>
      <c r="C42" s="31"/>
      <c r="D42" s="32"/>
      <c r="E42" s="24"/>
      <c r="F42" s="24"/>
      <c r="G42" s="24"/>
      <c r="H42" s="24"/>
      <c r="I42" s="24"/>
      <c r="J42" s="24"/>
      <c r="K42" s="24"/>
      <c r="L42" s="24"/>
      <c r="M42" s="362">
        <f t="shared" si="0"/>
        <v>0</v>
      </c>
      <c r="N42" s="4"/>
      <c r="O42" s="4"/>
      <c r="P42" s="4"/>
      <c r="Q42" s="11"/>
      <c r="R42" s="11"/>
      <c r="S42" s="11"/>
      <c r="T42" s="11"/>
      <c r="U42" s="11"/>
    </row>
    <row r="43" spans="1:21" s="9" customFormat="1" ht="15" hidden="1" customHeight="1" thickBot="1">
      <c r="B43" s="169"/>
      <c r="C43" s="174"/>
      <c r="D43" s="171"/>
      <c r="E43" s="175"/>
      <c r="F43" s="175"/>
      <c r="G43" s="175"/>
      <c r="H43" s="175"/>
      <c r="I43" s="175"/>
      <c r="J43" s="175"/>
      <c r="K43" s="175"/>
      <c r="L43" s="175"/>
      <c r="M43" s="172">
        <f t="shared" si="0"/>
        <v>0</v>
      </c>
      <c r="N43" s="4"/>
      <c r="O43" s="4"/>
      <c r="P43" s="4"/>
      <c r="Q43" s="11"/>
      <c r="R43" s="11"/>
      <c r="S43" s="11"/>
      <c r="T43" s="11"/>
      <c r="U43" s="11"/>
    </row>
    <row r="44" spans="1:21" s="9" customFormat="1" ht="15" hidden="1" customHeight="1" thickBot="1">
      <c r="B44" s="26"/>
      <c r="C44" s="31"/>
      <c r="D44" s="32"/>
      <c r="E44" s="24"/>
      <c r="F44" s="24"/>
      <c r="G44" s="24"/>
      <c r="H44" s="24"/>
      <c r="I44" s="24"/>
      <c r="J44" s="24"/>
      <c r="K44" s="24"/>
      <c r="L44" s="24"/>
      <c r="M44" s="362">
        <f t="shared" si="0"/>
        <v>0</v>
      </c>
      <c r="N44" s="4"/>
      <c r="O44" s="4"/>
      <c r="P44" s="4"/>
      <c r="Q44" s="11"/>
      <c r="R44" s="11"/>
      <c r="S44" s="11"/>
      <c r="T44" s="11"/>
      <c r="U44" s="11"/>
    </row>
    <row r="45" spans="1:21" s="9" customFormat="1" ht="15" hidden="1" customHeight="1" thickBot="1">
      <c r="B45" s="169"/>
      <c r="C45" s="174"/>
      <c r="D45" s="171"/>
      <c r="E45" s="175"/>
      <c r="F45" s="175"/>
      <c r="G45" s="175"/>
      <c r="H45" s="175"/>
      <c r="I45" s="175"/>
      <c r="J45" s="175"/>
      <c r="K45" s="175"/>
      <c r="L45" s="175"/>
      <c r="M45" s="172">
        <f t="shared" si="0"/>
        <v>0</v>
      </c>
      <c r="N45" s="4"/>
      <c r="O45" s="4"/>
      <c r="P45" s="4"/>
      <c r="Q45" s="11"/>
      <c r="R45" s="11"/>
      <c r="S45" s="11"/>
      <c r="T45" s="11"/>
      <c r="U45" s="11"/>
    </row>
    <row r="46" spans="1:21" s="9" customFormat="1" ht="15" hidden="1" customHeight="1" thickBot="1">
      <c r="B46" s="26"/>
      <c r="C46" s="31"/>
      <c r="D46" s="32"/>
      <c r="E46" s="24"/>
      <c r="F46" s="24"/>
      <c r="G46" s="24"/>
      <c r="H46" s="24"/>
      <c r="I46" s="24"/>
      <c r="J46" s="24"/>
      <c r="K46" s="24"/>
      <c r="L46" s="24"/>
      <c r="M46" s="362">
        <f t="shared" si="0"/>
        <v>0</v>
      </c>
      <c r="N46" s="4"/>
      <c r="O46" s="4"/>
      <c r="P46" s="4"/>
      <c r="Q46" s="11"/>
      <c r="R46" s="11"/>
      <c r="S46" s="11"/>
      <c r="T46" s="11"/>
      <c r="U46" s="11"/>
    </row>
    <row r="47" spans="1:21" s="9" customFormat="1" ht="15" hidden="1" customHeight="1" thickBot="1">
      <c r="B47" s="169"/>
      <c r="C47" s="174"/>
      <c r="D47" s="171"/>
      <c r="E47" s="175"/>
      <c r="F47" s="175"/>
      <c r="G47" s="175"/>
      <c r="H47" s="175"/>
      <c r="I47" s="175"/>
      <c r="J47" s="175"/>
      <c r="K47" s="175"/>
      <c r="L47" s="175"/>
      <c r="M47" s="172">
        <f t="shared" si="0"/>
        <v>0</v>
      </c>
      <c r="N47" s="4"/>
      <c r="O47" s="4"/>
      <c r="P47" s="4"/>
      <c r="Q47" s="11"/>
      <c r="R47" s="11"/>
      <c r="S47" s="11"/>
      <c r="T47" s="11"/>
      <c r="U47" s="11"/>
    </row>
    <row r="48" spans="1:21" s="9" customFormat="1" ht="15" hidden="1" customHeight="1" thickBot="1">
      <c r="B48" s="26"/>
      <c r="C48" s="31"/>
      <c r="D48" s="32"/>
      <c r="E48" s="24"/>
      <c r="F48" s="24"/>
      <c r="G48" s="24"/>
      <c r="H48" s="24"/>
      <c r="I48" s="24"/>
      <c r="J48" s="24"/>
      <c r="K48" s="24"/>
      <c r="L48" s="24"/>
      <c r="M48" s="362">
        <f t="shared" si="0"/>
        <v>0</v>
      </c>
      <c r="N48" s="4"/>
      <c r="O48" s="4"/>
      <c r="P48" s="4"/>
      <c r="Q48" s="11"/>
      <c r="R48" s="11"/>
      <c r="S48" s="11"/>
      <c r="T48" s="11"/>
      <c r="U48" s="11"/>
    </row>
    <row r="49" spans="1:21" s="9" customFormat="1" ht="15" hidden="1" customHeight="1" thickBot="1">
      <c r="B49" s="169"/>
      <c r="C49" s="174"/>
      <c r="D49" s="171"/>
      <c r="E49" s="175"/>
      <c r="F49" s="175"/>
      <c r="G49" s="175"/>
      <c r="H49" s="175"/>
      <c r="I49" s="175"/>
      <c r="J49" s="175"/>
      <c r="K49" s="175"/>
      <c r="L49" s="175"/>
      <c r="M49" s="172">
        <f t="shared" si="0"/>
        <v>0</v>
      </c>
      <c r="N49" s="4"/>
      <c r="O49" s="4"/>
      <c r="P49" s="4"/>
      <c r="Q49" s="11"/>
      <c r="R49" s="11"/>
      <c r="S49" s="11"/>
      <c r="T49" s="11"/>
      <c r="U49" s="11"/>
    </row>
    <row r="50" spans="1:21" s="9" customFormat="1" ht="15" hidden="1" customHeight="1" thickBot="1">
      <c r="B50" s="26"/>
      <c r="C50" s="31"/>
      <c r="D50" s="32"/>
      <c r="E50" s="24"/>
      <c r="F50" s="24"/>
      <c r="G50" s="24"/>
      <c r="H50" s="24"/>
      <c r="I50" s="24"/>
      <c r="J50" s="24"/>
      <c r="K50" s="24"/>
      <c r="L50" s="24"/>
      <c r="M50" s="362">
        <f t="shared" si="0"/>
        <v>0</v>
      </c>
      <c r="N50" s="4"/>
      <c r="O50" s="4"/>
      <c r="P50" s="4"/>
      <c r="Q50" s="11"/>
      <c r="R50" s="11"/>
      <c r="S50" s="11"/>
      <c r="T50" s="11"/>
      <c r="U50" s="11"/>
    </row>
    <row r="51" spans="1:21" s="9" customFormat="1" ht="15" hidden="1" customHeight="1" thickBot="1">
      <c r="B51" s="169"/>
      <c r="C51" s="174"/>
      <c r="D51" s="171"/>
      <c r="E51" s="175"/>
      <c r="F51" s="175"/>
      <c r="G51" s="175"/>
      <c r="H51" s="175"/>
      <c r="I51" s="175"/>
      <c r="J51" s="175"/>
      <c r="K51" s="175"/>
      <c r="L51" s="175"/>
      <c r="M51" s="172">
        <f t="shared" si="0"/>
        <v>0</v>
      </c>
      <c r="N51" s="4"/>
      <c r="O51" s="4"/>
      <c r="P51" s="4"/>
      <c r="Q51" s="11"/>
      <c r="R51" s="11"/>
      <c r="S51" s="11"/>
      <c r="T51" s="11"/>
      <c r="U51" s="11"/>
    </row>
    <row r="52" spans="1:21" s="9" customFormat="1" ht="15" hidden="1" customHeight="1" thickBot="1">
      <c r="B52" s="26"/>
      <c r="C52" s="31"/>
      <c r="D52" s="32"/>
      <c r="E52" s="24"/>
      <c r="F52" s="24"/>
      <c r="G52" s="24"/>
      <c r="H52" s="24"/>
      <c r="I52" s="24"/>
      <c r="J52" s="24"/>
      <c r="K52" s="24"/>
      <c r="L52" s="24"/>
      <c r="M52" s="362">
        <f t="shared" si="0"/>
        <v>0</v>
      </c>
      <c r="N52" s="4"/>
      <c r="O52" s="4"/>
      <c r="P52" s="4"/>
      <c r="Q52" s="11"/>
      <c r="R52" s="11"/>
      <c r="S52" s="11"/>
      <c r="T52" s="11"/>
      <c r="U52" s="11"/>
    </row>
    <row r="53" spans="1:21" s="9" customFormat="1" ht="15" hidden="1" customHeight="1" thickBot="1">
      <c r="B53" s="169"/>
      <c r="C53" s="174"/>
      <c r="D53" s="171"/>
      <c r="E53" s="175"/>
      <c r="F53" s="175"/>
      <c r="G53" s="175"/>
      <c r="H53" s="175"/>
      <c r="I53" s="175"/>
      <c r="J53" s="175"/>
      <c r="K53" s="175"/>
      <c r="L53" s="175"/>
      <c r="M53" s="172">
        <f t="shared" si="0"/>
        <v>0</v>
      </c>
      <c r="N53" s="4"/>
      <c r="O53" s="4"/>
      <c r="P53" s="4"/>
      <c r="Q53" s="11"/>
      <c r="R53" s="11"/>
      <c r="S53" s="11"/>
      <c r="T53" s="11"/>
      <c r="U53" s="11"/>
    </row>
    <row r="54" spans="1:21" s="9" customFormat="1" ht="15" hidden="1" customHeight="1" thickBot="1">
      <c r="B54" s="26"/>
      <c r="C54" s="31"/>
      <c r="D54" s="32"/>
      <c r="E54" s="24"/>
      <c r="F54" s="24"/>
      <c r="G54" s="24"/>
      <c r="H54" s="24"/>
      <c r="I54" s="24"/>
      <c r="J54" s="24"/>
      <c r="K54" s="24"/>
      <c r="L54" s="24"/>
      <c r="M54" s="362">
        <f t="shared" si="0"/>
        <v>0</v>
      </c>
      <c r="N54" s="4"/>
      <c r="O54" s="4"/>
      <c r="P54" s="4"/>
      <c r="Q54" s="11"/>
      <c r="R54" s="11"/>
      <c r="S54" s="11"/>
      <c r="T54" s="11"/>
      <c r="U54" s="11"/>
    </row>
    <row r="55" spans="1:21" s="9" customFormat="1" ht="15" hidden="1" customHeight="1" thickBot="1">
      <c r="B55" s="169"/>
      <c r="C55" s="174"/>
      <c r="D55" s="171"/>
      <c r="E55" s="175"/>
      <c r="F55" s="175"/>
      <c r="G55" s="175"/>
      <c r="H55" s="175"/>
      <c r="I55" s="175"/>
      <c r="J55" s="175"/>
      <c r="K55" s="175"/>
      <c r="L55" s="175"/>
      <c r="M55" s="172">
        <f t="shared" si="0"/>
        <v>0</v>
      </c>
      <c r="N55" s="4"/>
      <c r="O55" s="4"/>
      <c r="P55" s="4"/>
      <c r="Q55" s="11"/>
      <c r="R55" s="11"/>
      <c r="S55" s="11"/>
      <c r="T55" s="11"/>
      <c r="U55" s="11"/>
    </row>
    <row r="56" spans="1:21" s="9" customFormat="1" ht="15" hidden="1" customHeight="1" thickBot="1">
      <c r="B56" s="26"/>
      <c r="C56" s="31"/>
      <c r="D56" s="32"/>
      <c r="E56" s="24"/>
      <c r="F56" s="24"/>
      <c r="G56" s="24"/>
      <c r="H56" s="24"/>
      <c r="I56" s="24"/>
      <c r="J56" s="24"/>
      <c r="K56" s="24"/>
      <c r="L56" s="24"/>
      <c r="M56" s="362">
        <f t="shared" si="0"/>
        <v>0</v>
      </c>
      <c r="N56" s="4"/>
      <c r="O56" s="4"/>
      <c r="P56" s="4"/>
      <c r="Q56" s="11"/>
      <c r="R56" s="11"/>
      <c r="S56" s="11"/>
      <c r="T56" s="11"/>
      <c r="U56" s="11"/>
    </row>
    <row r="57" spans="1:21" s="9" customFormat="1" ht="15" hidden="1" customHeight="1" thickBot="1">
      <c r="B57" s="169"/>
      <c r="C57" s="174"/>
      <c r="D57" s="171"/>
      <c r="E57" s="175"/>
      <c r="F57" s="175"/>
      <c r="G57" s="175"/>
      <c r="H57" s="175"/>
      <c r="I57" s="175"/>
      <c r="J57" s="175"/>
      <c r="K57" s="175"/>
      <c r="L57" s="175"/>
      <c r="M57" s="172">
        <f t="shared" si="0"/>
        <v>0</v>
      </c>
      <c r="N57" s="4"/>
      <c r="O57" s="4"/>
      <c r="P57" s="4"/>
      <c r="Q57" s="11"/>
      <c r="R57" s="11"/>
      <c r="S57" s="11"/>
      <c r="T57" s="11"/>
      <c r="U57" s="11"/>
    </row>
    <row r="58" spans="1:21" s="9" customFormat="1" ht="15" hidden="1" customHeight="1" thickBot="1">
      <c r="B58" s="26"/>
      <c r="C58" s="31"/>
      <c r="D58" s="32"/>
      <c r="E58" s="24"/>
      <c r="F58" s="24"/>
      <c r="G58" s="24"/>
      <c r="H58" s="24"/>
      <c r="I58" s="24"/>
      <c r="J58" s="24"/>
      <c r="K58" s="24"/>
      <c r="L58" s="24"/>
      <c r="M58" s="362">
        <f t="shared" si="0"/>
        <v>0</v>
      </c>
      <c r="N58" s="4"/>
      <c r="O58" s="4"/>
      <c r="P58" s="4"/>
      <c r="Q58" s="11"/>
      <c r="R58" s="11"/>
      <c r="S58" s="11"/>
      <c r="T58" s="11"/>
      <c r="U58" s="11"/>
    </row>
    <row r="59" spans="1:21" s="9" customFormat="1" ht="15" hidden="1" customHeight="1" thickBot="1">
      <c r="B59" s="169"/>
      <c r="C59" s="174"/>
      <c r="D59" s="171"/>
      <c r="E59" s="175"/>
      <c r="F59" s="175"/>
      <c r="G59" s="175"/>
      <c r="H59" s="175"/>
      <c r="I59" s="175"/>
      <c r="J59" s="175"/>
      <c r="K59" s="175"/>
      <c r="L59" s="175"/>
      <c r="M59" s="172">
        <f t="shared" si="0"/>
        <v>0</v>
      </c>
      <c r="N59" s="4"/>
      <c r="O59" s="4"/>
      <c r="P59" s="4"/>
      <c r="Q59" s="11"/>
      <c r="R59" s="11"/>
      <c r="S59" s="11"/>
      <c r="T59" s="11"/>
      <c r="U59" s="11"/>
    </row>
    <row r="60" spans="1:21" s="9" customFormat="1" ht="15" customHeight="1" thickBot="1">
      <c r="B60" s="34"/>
      <c r="C60" s="35" t="s">
        <v>29</v>
      </c>
      <c r="D60" s="36"/>
      <c r="E60" s="37">
        <f t="shared" ref="E60:M60" si="1">SUM(E4:E59)</f>
        <v>50750</v>
      </c>
      <c r="F60" s="37">
        <f t="shared" si="1"/>
        <v>1738.72</v>
      </c>
      <c r="G60" s="37">
        <f t="shared" si="1"/>
        <v>272</v>
      </c>
      <c r="H60" s="37">
        <f t="shared" si="1"/>
        <v>0</v>
      </c>
      <c r="I60" s="37">
        <f t="shared" si="1"/>
        <v>534.22</v>
      </c>
      <c r="J60" s="37">
        <f t="shared" si="1"/>
        <v>5125.55</v>
      </c>
      <c r="K60" s="37">
        <f t="shared" si="1"/>
        <v>11300</v>
      </c>
      <c r="L60" s="37">
        <f t="shared" si="1"/>
        <v>3809.88</v>
      </c>
      <c r="M60" s="37">
        <f t="shared" si="1"/>
        <v>73530.37</v>
      </c>
      <c r="N60" s="4"/>
      <c r="O60" s="4"/>
      <c r="P60" s="4"/>
    </row>
    <row r="61" spans="1:21" s="9" customFormat="1" ht="15" customHeight="1" thickTop="1">
      <c r="A61" s="4"/>
      <c r="B61" s="16"/>
      <c r="C61" s="722"/>
      <c r="D61" s="723"/>
      <c r="E61" s="723"/>
      <c r="F61" s="723"/>
      <c r="G61" s="723"/>
      <c r="H61" s="723"/>
      <c r="I61" s="723"/>
      <c r="J61" s="176">
        <f>J19+J20+J23</f>
        <v>0</v>
      </c>
      <c r="K61" s="719"/>
      <c r="L61" s="719"/>
      <c r="M61" s="107">
        <f>SUM(E60:L60)</f>
        <v>73530.37</v>
      </c>
      <c r="N61" s="4"/>
      <c r="O61" s="4"/>
      <c r="P61" s="4"/>
    </row>
    <row r="62" spans="1:21" s="9" customFormat="1" ht="15" customHeight="1" thickBot="1">
      <c r="A62" s="4"/>
      <c r="B62" s="13"/>
      <c r="C62" s="724"/>
      <c r="D62" s="725"/>
      <c r="E62" s="725"/>
      <c r="F62" s="725"/>
      <c r="G62" s="725"/>
      <c r="H62" s="725"/>
      <c r="I62" s="725"/>
      <c r="J62" s="99"/>
      <c r="K62" s="17"/>
      <c r="L62" s="14"/>
      <c r="M62" s="108">
        <f>M61-L60</f>
        <v>69720.490000000005</v>
      </c>
      <c r="N62" s="4"/>
      <c r="O62" s="4"/>
      <c r="P62" s="4"/>
    </row>
    <row r="63" spans="1:21">
      <c r="C63" s="6"/>
      <c r="M63" s="1">
        <f>M61-M60</f>
        <v>0</v>
      </c>
    </row>
  </sheetData>
  <sheetProtection algorithmName="SHA-512" hashValue="NbWAihprcf0HmNA3Z10ItPDjcZaX9G/tCMI40HYmu6H/FX0C+Am1cFANMXcqyZAlCS9mnnVr4xGk0rHpGZ5Rpg==" saltValue="zdI7yQpT2oZCbjeV4Y5f2A==" spinCount="100000" sheet="1" formatCells="0" selectLockedCells="1"/>
  <mergeCells count="14">
    <mergeCell ref="K61:L61"/>
    <mergeCell ref="G2:G3"/>
    <mergeCell ref="I2:I3"/>
    <mergeCell ref="K2:K3"/>
    <mergeCell ref="C61:I62"/>
    <mergeCell ref="H2:H3"/>
    <mergeCell ref="J2:J3"/>
    <mergeCell ref="B2:B3"/>
    <mergeCell ref="C2:C3"/>
    <mergeCell ref="D2:D3"/>
    <mergeCell ref="E2:E3"/>
    <mergeCell ref="F2:F3"/>
    <mergeCell ref="L2:L3"/>
    <mergeCell ref="M2:M3"/>
  </mergeCells>
  <phoneticPr fontId="0" type="noConversion"/>
  <printOptions horizontalCentered="1" verticalCentered="1"/>
  <pageMargins left="0" right="0" top="0.39370078740157483" bottom="0.39370078740157483" header="0.31496062992125984" footer="0.31496062992125984"/>
  <pageSetup paperSize="9" orientation="landscape" r:id="rId1"/>
  <headerFooter alignWithMargins="0">
    <oddHeader xml:space="preserve">&amp;CNassington Parish Council&amp;RAccounts to y/e 31 March 2021
</oddHeader>
    <oddFooter>&amp;C&amp;"Arial,Bold"&amp;14&amp;A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249977111117893"/>
    <pageSetUpPr fitToPage="1"/>
  </sheetPr>
  <dimension ref="A1:P211"/>
  <sheetViews>
    <sheetView showGridLines="0" showZeros="0" topLeftCell="B1" zoomScaleNormal="100" workbookViewId="0">
      <pane xSplit="2" ySplit="2" topLeftCell="D3" activePane="bottomRight" state="frozen"/>
      <selection activeCell="G37" sqref="G37"/>
      <selection pane="topRight" activeCell="G37" sqref="G37"/>
      <selection pane="bottomLeft" activeCell="G37" sqref="G37"/>
      <selection pane="bottomRight" activeCell="D3" sqref="D3"/>
    </sheetView>
  </sheetViews>
  <sheetFormatPr defaultColWidth="9.140625" defaultRowHeight="15"/>
  <cols>
    <col min="1" max="1" width="1" style="25" hidden="1" customWidth="1"/>
    <col min="2" max="2" width="4" style="127" bestFit="1" customWidth="1"/>
    <col min="3" max="3" width="13.85546875" style="610" bestFit="1" customWidth="1"/>
    <col min="4" max="4" width="11.7109375" style="25" bestFit="1" customWidth="1"/>
    <col min="5" max="5" width="9.5703125" style="358" bestFit="1" customWidth="1"/>
    <col min="6" max="6" width="33.7109375" style="113" customWidth="1"/>
    <col min="7" max="7" width="3.42578125" style="359" customWidth="1"/>
    <col min="8" max="8" width="31.28515625" style="25" customWidth="1"/>
    <col min="9" max="9" width="11.5703125" style="109" bestFit="1" customWidth="1"/>
    <col min="10" max="10" width="10.5703125" style="109" bestFit="1" customWidth="1"/>
    <col min="11" max="11" width="9.85546875" style="25" hidden="1" customWidth="1"/>
    <col min="12" max="12" width="8" style="25" bestFit="1" customWidth="1"/>
    <col min="13" max="13" width="10.5703125" style="109" customWidth="1"/>
    <col min="14" max="14" width="10.5703125" style="109" bestFit="1" customWidth="1"/>
    <col min="15" max="15" width="38" style="25" customWidth="1"/>
    <col min="16" max="16" width="9.140625" style="25"/>
    <col min="17" max="17" width="12" style="25" bestFit="1" customWidth="1"/>
    <col min="18" max="18" width="10.5703125" style="25" bestFit="1" customWidth="1"/>
    <col min="19" max="16384" width="9.140625" style="25"/>
  </cols>
  <sheetData>
    <row r="1" spans="2:15" ht="15.75" thickBot="1">
      <c r="D1" s="47"/>
    </row>
    <row r="2" spans="2:15" s="45" customFormat="1" ht="46.5" customHeight="1" thickTop="1">
      <c r="B2" s="128"/>
      <c r="C2" s="41" t="s">
        <v>6</v>
      </c>
      <c r="D2" s="39" t="s">
        <v>208</v>
      </c>
      <c r="E2" s="41" t="s">
        <v>325</v>
      </c>
      <c r="F2" s="40" t="s">
        <v>210</v>
      </c>
      <c r="G2" s="138" t="s">
        <v>40</v>
      </c>
      <c r="H2" s="42" t="s">
        <v>32</v>
      </c>
      <c r="I2" s="110" t="s">
        <v>53</v>
      </c>
      <c r="J2" s="110" t="s">
        <v>273</v>
      </c>
      <c r="K2" s="43" t="s">
        <v>54</v>
      </c>
      <c r="L2" s="43" t="s">
        <v>37</v>
      </c>
      <c r="M2" s="112" t="s">
        <v>55</v>
      </c>
      <c r="N2" s="112" t="s">
        <v>5</v>
      </c>
      <c r="O2" s="44" t="s">
        <v>253</v>
      </c>
    </row>
    <row r="3" spans="2:15" s="45" customFormat="1" ht="15" customHeight="1">
      <c r="B3" s="521">
        <v>1</v>
      </c>
      <c r="C3" s="611">
        <f t="shared" ref="C3:C10" si="0">SUM(M3:N3)</f>
        <v>155</v>
      </c>
      <c r="D3" s="519">
        <v>44655</v>
      </c>
      <c r="E3" s="31" t="s">
        <v>254</v>
      </c>
      <c r="F3" s="168" t="s">
        <v>456</v>
      </c>
      <c r="G3" s="520" t="s">
        <v>457</v>
      </c>
      <c r="H3" s="24" t="s">
        <v>458</v>
      </c>
      <c r="I3" s="587"/>
      <c r="J3" s="587">
        <v>155</v>
      </c>
      <c r="K3" s="587"/>
      <c r="L3" s="587"/>
      <c r="M3" s="588">
        <f t="shared" ref="M3:M43" si="1">SUM(I3:L3)</f>
        <v>155</v>
      </c>
      <c r="N3" s="587"/>
      <c r="O3" s="70" t="s">
        <v>268</v>
      </c>
    </row>
    <row r="4" spans="2:15" ht="15" customHeight="1">
      <c r="B4" s="522">
        <f>B3+1</f>
        <v>2</v>
      </c>
      <c r="C4" s="612">
        <f t="shared" si="0"/>
        <v>40</v>
      </c>
      <c r="D4" s="523">
        <v>44659</v>
      </c>
      <c r="E4" s="527" t="s">
        <v>254</v>
      </c>
      <c r="F4" s="577" t="s">
        <v>459</v>
      </c>
      <c r="G4" s="524" t="s">
        <v>457</v>
      </c>
      <c r="H4" s="525" t="s">
        <v>449</v>
      </c>
      <c r="I4" s="589">
        <v>40</v>
      </c>
      <c r="J4" s="589"/>
      <c r="K4" s="590"/>
      <c r="L4" s="590"/>
      <c r="M4" s="591">
        <f t="shared" si="1"/>
        <v>40</v>
      </c>
      <c r="N4" s="591"/>
      <c r="O4" s="105" t="s">
        <v>268</v>
      </c>
    </row>
    <row r="5" spans="2:15" ht="15" customHeight="1">
      <c r="B5" s="521">
        <f>B3+1</f>
        <v>2</v>
      </c>
      <c r="C5" s="611">
        <f t="shared" si="0"/>
        <v>1.99</v>
      </c>
      <c r="D5" s="519">
        <v>44662</v>
      </c>
      <c r="E5" s="31" t="s">
        <v>475</v>
      </c>
      <c r="F5" s="168" t="s">
        <v>460</v>
      </c>
      <c r="G5" s="520" t="s">
        <v>457</v>
      </c>
      <c r="H5" s="24" t="s">
        <v>256</v>
      </c>
      <c r="I5" s="587">
        <v>1.99</v>
      </c>
      <c r="J5" s="587"/>
      <c r="K5" s="587"/>
      <c r="L5" s="587"/>
      <c r="M5" s="588">
        <f t="shared" si="1"/>
        <v>1.99</v>
      </c>
      <c r="N5" s="587"/>
      <c r="O5" s="70" t="s">
        <v>307</v>
      </c>
    </row>
    <row r="6" spans="2:15" ht="15" customHeight="1">
      <c r="B6" s="522">
        <f t="shared" ref="B6:B13" si="2">B5+1</f>
        <v>3</v>
      </c>
      <c r="C6" s="612">
        <f t="shared" si="0"/>
        <v>21</v>
      </c>
      <c r="D6" s="523">
        <v>44670</v>
      </c>
      <c r="E6" s="552" t="s">
        <v>254</v>
      </c>
      <c r="F6" s="576" t="s">
        <v>461</v>
      </c>
      <c r="G6" s="524" t="s">
        <v>457</v>
      </c>
      <c r="H6" s="525" t="s">
        <v>462</v>
      </c>
      <c r="I6" s="589"/>
      <c r="J6" s="591">
        <v>21</v>
      </c>
      <c r="K6" s="589"/>
      <c r="L6" s="590"/>
      <c r="M6" s="591">
        <f t="shared" si="1"/>
        <v>21</v>
      </c>
      <c r="N6" s="590"/>
      <c r="O6" s="179" t="s">
        <v>268</v>
      </c>
    </row>
    <row r="7" spans="2:15" ht="15" customHeight="1">
      <c r="B7" s="521">
        <f t="shared" si="2"/>
        <v>4</v>
      </c>
      <c r="C7" s="611">
        <f t="shared" si="0"/>
        <v>114.69</v>
      </c>
      <c r="D7" s="519">
        <v>44763</v>
      </c>
      <c r="E7" s="31" t="s">
        <v>464</v>
      </c>
      <c r="F7" s="575" t="s">
        <v>465</v>
      </c>
      <c r="G7" s="520" t="s">
        <v>457</v>
      </c>
      <c r="H7" s="24" t="s">
        <v>466</v>
      </c>
      <c r="I7" s="587"/>
      <c r="J7" s="587">
        <v>109.24</v>
      </c>
      <c r="K7" s="587"/>
      <c r="L7" s="587"/>
      <c r="M7" s="588">
        <f t="shared" si="1"/>
        <v>109.24</v>
      </c>
      <c r="N7" s="587">
        <v>5.45</v>
      </c>
      <c r="O7" s="70" t="s">
        <v>310</v>
      </c>
    </row>
    <row r="8" spans="2:15" ht="15" customHeight="1">
      <c r="B8" s="177">
        <f t="shared" si="2"/>
        <v>5</v>
      </c>
      <c r="C8" s="612">
        <f t="shared" si="0"/>
        <v>1359.39</v>
      </c>
      <c r="D8" s="523">
        <v>44673</v>
      </c>
      <c r="E8" s="527" t="s">
        <v>469</v>
      </c>
      <c r="F8" s="139" t="s">
        <v>470</v>
      </c>
      <c r="G8" s="524" t="s">
        <v>457</v>
      </c>
      <c r="H8" s="525" t="s">
        <v>471</v>
      </c>
      <c r="I8" s="589"/>
      <c r="J8" s="589">
        <v>1359.39</v>
      </c>
      <c r="K8" s="590"/>
      <c r="L8" s="590"/>
      <c r="M8" s="591">
        <f t="shared" si="1"/>
        <v>1359.39</v>
      </c>
      <c r="N8" s="591"/>
      <c r="O8" s="105" t="s">
        <v>345</v>
      </c>
    </row>
    <row r="9" spans="2:15" ht="15" customHeight="1">
      <c r="B9" s="521">
        <f t="shared" si="2"/>
        <v>6</v>
      </c>
      <c r="C9" s="611">
        <f t="shared" si="0"/>
        <v>10000</v>
      </c>
      <c r="D9" s="519">
        <v>44673</v>
      </c>
      <c r="E9" s="31" t="s">
        <v>469</v>
      </c>
      <c r="F9" s="140" t="s">
        <v>472</v>
      </c>
      <c r="G9" s="520" t="s">
        <v>457</v>
      </c>
      <c r="H9" s="24" t="s">
        <v>473</v>
      </c>
      <c r="I9" s="593"/>
      <c r="J9" s="593">
        <v>10000</v>
      </c>
      <c r="K9" s="587"/>
      <c r="L9" s="587"/>
      <c r="M9" s="588">
        <f t="shared" si="1"/>
        <v>10000</v>
      </c>
      <c r="N9" s="588"/>
      <c r="O9" s="70" t="s">
        <v>474</v>
      </c>
    </row>
    <row r="10" spans="2:15">
      <c r="B10" s="522">
        <f t="shared" si="2"/>
        <v>7</v>
      </c>
      <c r="C10" s="612">
        <f t="shared" si="0"/>
        <v>590.16</v>
      </c>
      <c r="D10" s="523">
        <v>44673</v>
      </c>
      <c r="E10" s="527" t="s">
        <v>469</v>
      </c>
      <c r="F10" s="161" t="s">
        <v>476</v>
      </c>
      <c r="G10" s="524" t="s">
        <v>457</v>
      </c>
      <c r="H10" s="528" t="s">
        <v>477</v>
      </c>
      <c r="I10" s="590">
        <v>590.16</v>
      </c>
      <c r="J10" s="590"/>
      <c r="K10" s="590"/>
      <c r="L10" s="590"/>
      <c r="M10" s="591">
        <f t="shared" si="1"/>
        <v>590.16</v>
      </c>
      <c r="N10" s="590"/>
      <c r="O10" s="105" t="s">
        <v>306</v>
      </c>
    </row>
    <row r="11" spans="2:15" s="45" customFormat="1" ht="15.75" customHeight="1">
      <c r="B11" s="521">
        <f t="shared" si="2"/>
        <v>8</v>
      </c>
      <c r="C11" s="613">
        <f t="shared" ref="C11:C12" si="3">SUM(M11:N11)</f>
        <v>34.58</v>
      </c>
      <c r="D11" s="519">
        <v>44673</v>
      </c>
      <c r="E11" s="31" t="s">
        <v>469</v>
      </c>
      <c r="F11" s="578" t="s">
        <v>478</v>
      </c>
      <c r="G11" s="520" t="s">
        <v>457</v>
      </c>
      <c r="H11" s="24" t="s">
        <v>479</v>
      </c>
      <c r="I11" s="593"/>
      <c r="J11" s="594">
        <v>34.58</v>
      </c>
      <c r="K11" s="587"/>
      <c r="L11" s="587"/>
      <c r="M11" s="588">
        <f t="shared" si="1"/>
        <v>34.58</v>
      </c>
      <c r="N11" s="587"/>
      <c r="O11" s="70" t="s">
        <v>268</v>
      </c>
    </row>
    <row r="12" spans="2:15">
      <c r="B12" s="522">
        <f t="shared" si="2"/>
        <v>9</v>
      </c>
      <c r="C12" s="614">
        <f t="shared" si="3"/>
        <v>522</v>
      </c>
      <c r="D12" s="523">
        <v>44673</v>
      </c>
      <c r="E12" s="527" t="s">
        <v>469</v>
      </c>
      <c r="F12" s="579" t="s">
        <v>481</v>
      </c>
      <c r="G12" s="524" t="s">
        <v>457</v>
      </c>
      <c r="H12" s="528" t="s">
        <v>480</v>
      </c>
      <c r="I12" s="590"/>
      <c r="J12" s="590">
        <v>435</v>
      </c>
      <c r="K12" s="590"/>
      <c r="L12" s="590"/>
      <c r="M12" s="591">
        <f t="shared" si="1"/>
        <v>435</v>
      </c>
      <c r="N12" s="619">
        <f>M12*20%</f>
        <v>87</v>
      </c>
      <c r="O12" s="105" t="s">
        <v>323</v>
      </c>
    </row>
    <row r="13" spans="2:15">
      <c r="B13" s="521">
        <f t="shared" si="2"/>
        <v>10</v>
      </c>
      <c r="C13" s="615">
        <f>SUM(M13:N13)</f>
        <v>2491.34</v>
      </c>
      <c r="D13" s="519">
        <v>44673</v>
      </c>
      <c r="E13" s="31" t="s">
        <v>469</v>
      </c>
      <c r="F13" s="578" t="s">
        <v>482</v>
      </c>
      <c r="G13" s="520" t="s">
        <v>457</v>
      </c>
      <c r="H13" s="24" t="s">
        <v>483</v>
      </c>
      <c r="I13" s="587"/>
      <c r="J13" s="587">
        <v>2076.12</v>
      </c>
      <c r="K13" s="587"/>
      <c r="L13" s="587"/>
      <c r="M13" s="588">
        <f t="shared" si="1"/>
        <v>2076.12</v>
      </c>
      <c r="N13" s="620">
        <f>M13*20%</f>
        <v>415.22</v>
      </c>
      <c r="O13" s="70" t="s">
        <v>388</v>
      </c>
    </row>
    <row r="14" spans="2:15" ht="15" customHeight="1">
      <c r="B14" s="522">
        <f t="shared" ref="B14:B15" si="4">B13+1</f>
        <v>11</v>
      </c>
      <c r="C14" s="612">
        <f>SUM(M14:N14)</f>
        <v>650</v>
      </c>
      <c r="D14" s="523">
        <v>44673</v>
      </c>
      <c r="E14" s="527" t="s">
        <v>469</v>
      </c>
      <c r="F14" s="577" t="s">
        <v>484</v>
      </c>
      <c r="G14" s="524" t="s">
        <v>457</v>
      </c>
      <c r="H14" s="528" t="s">
        <v>485</v>
      </c>
      <c r="I14" s="589"/>
      <c r="J14" s="589">
        <v>650</v>
      </c>
      <c r="K14" s="590"/>
      <c r="L14" s="590"/>
      <c r="M14" s="591">
        <f t="shared" si="1"/>
        <v>650</v>
      </c>
      <c r="N14" s="619"/>
      <c r="O14" s="105" t="s">
        <v>673</v>
      </c>
    </row>
    <row r="15" spans="2:15">
      <c r="B15" s="128">
        <f t="shared" si="4"/>
        <v>12</v>
      </c>
      <c r="C15" s="615">
        <f>SUM(M15:N15)</f>
        <v>2200</v>
      </c>
      <c r="D15" s="519">
        <v>44673</v>
      </c>
      <c r="E15" s="31" t="s">
        <v>469</v>
      </c>
      <c r="F15" s="168" t="s">
        <v>487</v>
      </c>
      <c r="G15" s="520" t="s">
        <v>457</v>
      </c>
      <c r="H15" s="24" t="s">
        <v>486</v>
      </c>
      <c r="I15" s="587"/>
      <c r="J15" s="587">
        <v>2200</v>
      </c>
      <c r="K15" s="587"/>
      <c r="L15" s="587"/>
      <c r="M15" s="588">
        <f t="shared" si="1"/>
        <v>2200</v>
      </c>
      <c r="N15" s="620"/>
      <c r="O15" s="70" t="s">
        <v>313</v>
      </c>
    </row>
    <row r="16" spans="2:15">
      <c r="B16" s="177">
        <f>B15+1</f>
        <v>13</v>
      </c>
      <c r="C16" s="612">
        <f>SUM(M16:N16)</f>
        <v>3500</v>
      </c>
      <c r="D16" s="523">
        <v>44673</v>
      </c>
      <c r="E16" s="527" t="s">
        <v>469</v>
      </c>
      <c r="F16" s="161" t="s">
        <v>488</v>
      </c>
      <c r="G16" s="524" t="s">
        <v>457</v>
      </c>
      <c r="H16" s="360" t="s">
        <v>489</v>
      </c>
      <c r="I16" s="590"/>
      <c r="J16" s="590">
        <v>3500</v>
      </c>
      <c r="K16" s="590"/>
      <c r="L16" s="590"/>
      <c r="M16" s="591">
        <f t="shared" si="1"/>
        <v>3500</v>
      </c>
      <c r="N16" s="621"/>
      <c r="O16" s="105" t="s">
        <v>490</v>
      </c>
    </row>
    <row r="17" spans="2:16">
      <c r="B17" s="732">
        <f>B16+1</f>
        <v>14</v>
      </c>
      <c r="C17" s="734">
        <f>SUM(M17:N26)</f>
        <v>286.07</v>
      </c>
      <c r="D17" s="735">
        <v>44673</v>
      </c>
      <c r="E17" s="738"/>
      <c r="F17" s="575" t="s">
        <v>491</v>
      </c>
      <c r="G17" s="733" t="s">
        <v>457</v>
      </c>
      <c r="H17" s="742" t="s">
        <v>492</v>
      </c>
      <c r="I17" s="587"/>
      <c r="J17" s="587">
        <v>24.92</v>
      </c>
      <c r="K17" s="587"/>
      <c r="L17" s="587"/>
      <c r="M17" s="588">
        <f t="shared" si="1"/>
        <v>24.92</v>
      </c>
      <c r="N17" s="622">
        <v>4.9800000000000004</v>
      </c>
      <c r="O17" s="70" t="s">
        <v>268</v>
      </c>
      <c r="P17" s="83"/>
    </row>
    <row r="18" spans="2:16">
      <c r="B18" s="732"/>
      <c r="C18" s="734"/>
      <c r="D18" s="735"/>
      <c r="E18" s="738"/>
      <c r="F18" s="575" t="s">
        <v>493</v>
      </c>
      <c r="G18" s="733"/>
      <c r="H18" s="742"/>
      <c r="I18" s="587"/>
      <c r="J18" s="587">
        <v>28.84</v>
      </c>
      <c r="K18" s="587"/>
      <c r="L18" s="587"/>
      <c r="M18" s="588">
        <f t="shared" si="1"/>
        <v>28.84</v>
      </c>
      <c r="N18" s="622">
        <v>5.81</v>
      </c>
      <c r="O18" s="70" t="s">
        <v>268</v>
      </c>
      <c r="P18" s="83"/>
    </row>
    <row r="19" spans="2:16">
      <c r="B19" s="732"/>
      <c r="C19" s="734"/>
      <c r="D19" s="735"/>
      <c r="E19" s="738"/>
      <c r="F19" s="578" t="s">
        <v>494</v>
      </c>
      <c r="G19" s="733"/>
      <c r="H19" s="742"/>
      <c r="I19" s="587"/>
      <c r="J19" s="587">
        <v>28.26</v>
      </c>
      <c r="K19" s="587"/>
      <c r="L19" s="587"/>
      <c r="M19" s="588">
        <f t="shared" si="1"/>
        <v>28.26</v>
      </c>
      <c r="N19" s="622">
        <v>5.66</v>
      </c>
      <c r="O19" s="70" t="s">
        <v>268</v>
      </c>
    </row>
    <row r="20" spans="2:16">
      <c r="B20" s="732"/>
      <c r="C20" s="734"/>
      <c r="D20" s="735"/>
      <c r="E20" s="738"/>
      <c r="F20" s="575" t="s">
        <v>495</v>
      </c>
      <c r="G20" s="733"/>
      <c r="H20" s="742"/>
      <c r="I20" s="587"/>
      <c r="J20" s="587">
        <v>12.49</v>
      </c>
      <c r="K20" s="587"/>
      <c r="L20" s="587"/>
      <c r="M20" s="588">
        <f t="shared" si="1"/>
        <v>12.49</v>
      </c>
      <c r="N20" s="622">
        <v>2.5</v>
      </c>
      <c r="O20" s="70" t="s">
        <v>268</v>
      </c>
    </row>
    <row r="21" spans="2:16">
      <c r="B21" s="732"/>
      <c r="C21" s="734"/>
      <c r="D21" s="735"/>
      <c r="E21" s="738"/>
      <c r="F21" s="580" t="s">
        <v>496</v>
      </c>
      <c r="G21" s="733"/>
      <c r="H21" s="742"/>
      <c r="I21" s="587"/>
      <c r="J21" s="587">
        <v>25.86</v>
      </c>
      <c r="K21" s="587"/>
      <c r="L21" s="587"/>
      <c r="M21" s="588">
        <f t="shared" si="1"/>
        <v>25.86</v>
      </c>
      <c r="N21" s="622">
        <v>5.17</v>
      </c>
      <c r="O21" s="70" t="s">
        <v>268</v>
      </c>
    </row>
    <row r="22" spans="2:16">
      <c r="B22" s="732"/>
      <c r="C22" s="734"/>
      <c r="D22" s="735"/>
      <c r="E22" s="738"/>
      <c r="F22" s="580" t="s">
        <v>497</v>
      </c>
      <c r="G22" s="733"/>
      <c r="H22" s="742"/>
      <c r="I22" s="593"/>
      <c r="J22" s="593">
        <v>40</v>
      </c>
      <c r="K22" s="587"/>
      <c r="L22" s="587"/>
      <c r="M22" s="588">
        <f t="shared" si="1"/>
        <v>40</v>
      </c>
      <c r="N22" s="622">
        <v>8</v>
      </c>
      <c r="O22" s="70" t="s">
        <v>268</v>
      </c>
    </row>
    <row r="23" spans="2:16">
      <c r="B23" s="732"/>
      <c r="C23" s="734"/>
      <c r="D23" s="735"/>
      <c r="E23" s="738"/>
      <c r="F23" s="580" t="s">
        <v>498</v>
      </c>
      <c r="G23" s="733"/>
      <c r="H23" s="742"/>
      <c r="I23" s="593"/>
      <c r="J23" s="593">
        <v>29.16</v>
      </c>
      <c r="K23" s="587"/>
      <c r="L23" s="587"/>
      <c r="M23" s="588">
        <f t="shared" si="1"/>
        <v>29.16</v>
      </c>
      <c r="N23" s="622">
        <v>5.83</v>
      </c>
      <c r="O23" s="70" t="s">
        <v>268</v>
      </c>
    </row>
    <row r="24" spans="2:16">
      <c r="B24" s="732"/>
      <c r="C24" s="734"/>
      <c r="D24" s="735"/>
      <c r="E24" s="738"/>
      <c r="F24" s="580" t="s">
        <v>500</v>
      </c>
      <c r="G24" s="733"/>
      <c r="H24" s="742"/>
      <c r="I24" s="593"/>
      <c r="J24" s="593">
        <v>22.47</v>
      </c>
      <c r="K24" s="587"/>
      <c r="L24" s="587"/>
      <c r="M24" s="588">
        <f t="shared" si="1"/>
        <v>22.47</v>
      </c>
      <c r="N24" s="622">
        <v>4.5</v>
      </c>
      <c r="O24" s="70" t="s">
        <v>268</v>
      </c>
    </row>
    <row r="25" spans="2:16">
      <c r="B25" s="732"/>
      <c r="C25" s="734"/>
      <c r="D25" s="735"/>
      <c r="E25" s="738"/>
      <c r="F25" s="580" t="s">
        <v>499</v>
      </c>
      <c r="G25" s="733"/>
      <c r="H25" s="742"/>
      <c r="I25" s="593"/>
      <c r="J25" s="593">
        <v>16.36</v>
      </c>
      <c r="K25" s="587"/>
      <c r="L25" s="587"/>
      <c r="M25" s="588">
        <f t="shared" si="1"/>
        <v>16.36</v>
      </c>
      <c r="N25" s="622">
        <v>3.27</v>
      </c>
      <c r="O25" s="70" t="s">
        <v>268</v>
      </c>
    </row>
    <row r="26" spans="2:16">
      <c r="B26" s="732"/>
      <c r="C26" s="734"/>
      <c r="D26" s="735"/>
      <c r="E26" s="738"/>
      <c r="F26" s="578" t="s">
        <v>494</v>
      </c>
      <c r="G26" s="733"/>
      <c r="H26" s="742"/>
      <c r="I26" s="593"/>
      <c r="J26" s="593">
        <v>9.99</v>
      </c>
      <c r="K26" s="587"/>
      <c r="L26" s="587"/>
      <c r="M26" s="588">
        <f t="shared" si="1"/>
        <v>9.99</v>
      </c>
      <c r="N26" s="620">
        <v>2</v>
      </c>
      <c r="O26" s="70" t="s">
        <v>268</v>
      </c>
    </row>
    <row r="27" spans="2:16" s="45" customFormat="1" ht="15.75" customHeight="1">
      <c r="B27" s="177">
        <f>B17+1</f>
        <v>15</v>
      </c>
      <c r="C27" s="612">
        <f t="shared" ref="C27:C41" si="5">SUM(M27:N27)</f>
        <v>59.5</v>
      </c>
      <c r="D27" s="523">
        <v>44677</v>
      </c>
      <c r="E27" s="527" t="s">
        <v>254</v>
      </c>
      <c r="F27" s="579" t="s">
        <v>501</v>
      </c>
      <c r="G27" s="524" t="s">
        <v>457</v>
      </c>
      <c r="H27" s="525" t="s">
        <v>502</v>
      </c>
      <c r="I27" s="590"/>
      <c r="J27" s="590">
        <v>49.58</v>
      </c>
      <c r="K27" s="590"/>
      <c r="L27" s="590"/>
      <c r="M27" s="591">
        <f t="shared" si="1"/>
        <v>49.58</v>
      </c>
      <c r="N27" s="619">
        <f>M27*20%</f>
        <v>9.92</v>
      </c>
      <c r="O27" s="105" t="s">
        <v>268</v>
      </c>
    </row>
    <row r="28" spans="2:16">
      <c r="B28" s="521">
        <f t="shared" ref="B28:B32" si="6">B27+1</f>
        <v>16</v>
      </c>
      <c r="C28" s="611">
        <f t="shared" si="5"/>
        <v>96.9</v>
      </c>
      <c r="D28" s="519">
        <v>44677</v>
      </c>
      <c r="E28" s="31" t="s">
        <v>254</v>
      </c>
      <c r="F28" s="575" t="s">
        <v>503</v>
      </c>
      <c r="G28" s="520" t="s">
        <v>457</v>
      </c>
      <c r="H28" s="24" t="s">
        <v>504</v>
      </c>
      <c r="I28" s="595"/>
      <c r="J28" s="595">
        <v>96.9</v>
      </c>
      <c r="K28" s="596"/>
      <c r="L28" s="596"/>
      <c r="M28" s="597">
        <f t="shared" si="1"/>
        <v>96.9</v>
      </c>
      <c r="N28" s="623"/>
      <c r="O28" s="70" t="s">
        <v>268</v>
      </c>
    </row>
    <row r="29" spans="2:16" ht="15" customHeight="1">
      <c r="B29" s="522">
        <f>B28+1</f>
        <v>17</v>
      </c>
      <c r="C29" s="612">
        <f t="shared" si="5"/>
        <v>30.6</v>
      </c>
      <c r="D29" s="523">
        <v>44677</v>
      </c>
      <c r="E29" s="527" t="s">
        <v>254</v>
      </c>
      <c r="F29" s="577" t="s">
        <v>501</v>
      </c>
      <c r="G29" s="524" t="s">
        <v>457</v>
      </c>
      <c r="H29" s="525" t="s">
        <v>506</v>
      </c>
      <c r="I29" s="589"/>
      <c r="J29" s="589">
        <v>30.6</v>
      </c>
      <c r="K29" s="590"/>
      <c r="L29" s="590"/>
      <c r="M29" s="591">
        <f t="shared" si="1"/>
        <v>30.6</v>
      </c>
      <c r="N29" s="621"/>
      <c r="O29" s="105" t="s">
        <v>268</v>
      </c>
    </row>
    <row r="30" spans="2:16" ht="15" customHeight="1">
      <c r="B30" s="128">
        <f>B28+1</f>
        <v>17</v>
      </c>
      <c r="C30" s="615">
        <f t="shared" si="5"/>
        <v>590.52</v>
      </c>
      <c r="D30" s="519">
        <v>44684</v>
      </c>
      <c r="E30" s="31" t="s">
        <v>507</v>
      </c>
      <c r="F30" s="168" t="s">
        <v>508</v>
      </c>
      <c r="G30" s="520" t="s">
        <v>457</v>
      </c>
      <c r="H30" s="24" t="s">
        <v>509</v>
      </c>
      <c r="I30" s="587">
        <v>590.52</v>
      </c>
      <c r="J30" s="587"/>
      <c r="K30" s="587"/>
      <c r="L30" s="587"/>
      <c r="M30" s="588">
        <f t="shared" si="1"/>
        <v>590.52</v>
      </c>
      <c r="N30" s="620"/>
      <c r="O30" s="70" t="s">
        <v>306</v>
      </c>
    </row>
    <row r="31" spans="2:16">
      <c r="B31" s="177">
        <f t="shared" si="6"/>
        <v>18</v>
      </c>
      <c r="C31" s="612">
        <f t="shared" si="5"/>
        <v>6</v>
      </c>
      <c r="D31" s="523">
        <v>44685</v>
      </c>
      <c r="E31" s="527" t="s">
        <v>254</v>
      </c>
      <c r="F31" s="579" t="s">
        <v>510</v>
      </c>
      <c r="G31" s="524" t="s">
        <v>457</v>
      </c>
      <c r="H31" s="525" t="s">
        <v>511</v>
      </c>
      <c r="I31" s="590"/>
      <c r="J31" s="590">
        <v>6</v>
      </c>
      <c r="K31" s="590"/>
      <c r="L31" s="590"/>
      <c r="M31" s="591">
        <f t="shared" si="1"/>
        <v>6</v>
      </c>
      <c r="N31" s="619"/>
      <c r="O31" s="105" t="s">
        <v>323</v>
      </c>
    </row>
    <row r="32" spans="2:16">
      <c r="B32" s="521">
        <f t="shared" si="6"/>
        <v>19</v>
      </c>
      <c r="C32" s="611">
        <f t="shared" si="5"/>
        <v>37</v>
      </c>
      <c r="D32" s="519">
        <v>44685</v>
      </c>
      <c r="E32" s="31" t="s">
        <v>254</v>
      </c>
      <c r="F32" s="575" t="s">
        <v>503</v>
      </c>
      <c r="G32" s="520" t="s">
        <v>457</v>
      </c>
      <c r="H32" s="526" t="s">
        <v>512</v>
      </c>
      <c r="I32" s="587"/>
      <c r="J32" s="587">
        <v>37</v>
      </c>
      <c r="K32" s="587"/>
      <c r="L32" s="587"/>
      <c r="M32" s="588">
        <f t="shared" si="1"/>
        <v>37</v>
      </c>
      <c r="N32" s="620"/>
      <c r="O32" s="70" t="s">
        <v>268</v>
      </c>
    </row>
    <row r="33" spans="1:15" ht="15.75" customHeight="1">
      <c r="B33" s="522">
        <f>B32+1</f>
        <v>20</v>
      </c>
      <c r="C33" s="614">
        <f t="shared" si="5"/>
        <v>254.26</v>
      </c>
      <c r="D33" s="523">
        <v>44687</v>
      </c>
      <c r="E33" s="527" t="s">
        <v>254</v>
      </c>
      <c r="F33" s="577" t="s">
        <v>513</v>
      </c>
      <c r="G33" s="524" t="s">
        <v>457</v>
      </c>
      <c r="H33" s="581" t="s">
        <v>514</v>
      </c>
      <c r="I33" s="589"/>
      <c r="J33" s="589">
        <v>211.88</v>
      </c>
      <c r="K33" s="590"/>
      <c r="L33" s="590"/>
      <c r="M33" s="591">
        <f t="shared" si="1"/>
        <v>211.88</v>
      </c>
      <c r="N33" s="621">
        <f>M33*20%</f>
        <v>42.38</v>
      </c>
      <c r="O33" s="105" t="s">
        <v>268</v>
      </c>
    </row>
    <row r="34" spans="1:15">
      <c r="B34" s="521">
        <f>B33+1</f>
        <v>21</v>
      </c>
      <c r="C34" s="615">
        <f t="shared" si="5"/>
        <v>186.45</v>
      </c>
      <c r="D34" s="519">
        <v>44687</v>
      </c>
      <c r="E34" s="31" t="s">
        <v>254</v>
      </c>
      <c r="F34" s="575" t="s">
        <v>515</v>
      </c>
      <c r="G34" s="520" t="s">
        <v>457</v>
      </c>
      <c r="H34" s="526" t="s">
        <v>516</v>
      </c>
      <c r="I34" s="587"/>
      <c r="J34" s="587">
        <v>155.38</v>
      </c>
      <c r="K34" s="587"/>
      <c r="L34" s="587"/>
      <c r="M34" s="588">
        <f t="shared" si="1"/>
        <v>155.38</v>
      </c>
      <c r="N34" s="620">
        <v>31.07</v>
      </c>
      <c r="O34" s="70" t="s">
        <v>268</v>
      </c>
    </row>
    <row r="35" spans="1:15">
      <c r="B35" s="522">
        <f>B34+1</f>
        <v>22</v>
      </c>
      <c r="C35" s="612">
        <f t="shared" si="5"/>
        <v>339.99</v>
      </c>
      <c r="D35" s="523">
        <v>44687</v>
      </c>
      <c r="E35" s="527" t="s">
        <v>254</v>
      </c>
      <c r="F35" s="579" t="s">
        <v>517</v>
      </c>
      <c r="G35" s="524" t="s">
        <v>457</v>
      </c>
      <c r="H35" s="525" t="s">
        <v>518</v>
      </c>
      <c r="I35" s="590"/>
      <c r="J35" s="590">
        <v>283.33</v>
      </c>
      <c r="K35" s="590"/>
      <c r="L35" s="590"/>
      <c r="M35" s="591">
        <f t="shared" si="1"/>
        <v>283.33</v>
      </c>
      <c r="N35" s="619">
        <v>56.66</v>
      </c>
      <c r="O35" s="105" t="s">
        <v>345</v>
      </c>
    </row>
    <row r="36" spans="1:15" s="45" customFormat="1">
      <c r="B36" s="732">
        <f>B35+1</f>
        <v>23</v>
      </c>
      <c r="C36" s="734">
        <f>M36+M37+N36+N37</f>
        <v>103.44</v>
      </c>
      <c r="D36" s="735">
        <v>44691</v>
      </c>
      <c r="E36" s="736" t="s">
        <v>519</v>
      </c>
      <c r="F36" s="363" t="s">
        <v>520</v>
      </c>
      <c r="G36" s="733" t="s">
        <v>457</v>
      </c>
      <c r="H36" s="737" t="s">
        <v>648</v>
      </c>
      <c r="I36" s="593">
        <v>53.39</v>
      </c>
      <c r="J36" s="598"/>
      <c r="K36" s="593"/>
      <c r="L36" s="587"/>
      <c r="M36" s="588">
        <f t="shared" ref="M36:M37" si="7">SUM(I36:L36)</f>
        <v>53.39</v>
      </c>
      <c r="N36" s="620"/>
      <c r="O36" s="364" t="s">
        <v>306</v>
      </c>
    </row>
    <row r="37" spans="1:15" s="45" customFormat="1">
      <c r="B37" s="732"/>
      <c r="C37" s="734"/>
      <c r="D37" s="735"/>
      <c r="E37" s="736"/>
      <c r="F37" s="365" t="s">
        <v>520</v>
      </c>
      <c r="G37" s="733"/>
      <c r="H37" s="737"/>
      <c r="I37" s="593">
        <v>50.05</v>
      </c>
      <c r="J37" s="598"/>
      <c r="K37" s="593"/>
      <c r="L37" s="587"/>
      <c r="M37" s="588">
        <f t="shared" si="7"/>
        <v>50.05</v>
      </c>
      <c r="N37" s="620"/>
      <c r="O37" s="364" t="s">
        <v>521</v>
      </c>
    </row>
    <row r="38" spans="1:15" ht="14.25" customHeight="1">
      <c r="B38" s="522">
        <f>B36+1</f>
        <v>24</v>
      </c>
      <c r="C38" s="612">
        <f t="shared" ref="C38" si="8">SUM(M38:N38)</f>
        <v>1.99</v>
      </c>
      <c r="D38" s="523">
        <v>44662</v>
      </c>
      <c r="E38" s="527" t="s">
        <v>475</v>
      </c>
      <c r="F38" s="161" t="s">
        <v>460</v>
      </c>
      <c r="G38" s="524" t="s">
        <v>457</v>
      </c>
      <c r="H38" s="525" t="s">
        <v>256</v>
      </c>
      <c r="I38" s="590">
        <v>1.99</v>
      </c>
      <c r="J38" s="590"/>
      <c r="K38" s="590"/>
      <c r="L38" s="590"/>
      <c r="M38" s="591">
        <f t="shared" ref="M38" si="9">SUM(I38:L38)</f>
        <v>1.99</v>
      </c>
      <c r="N38" s="619"/>
      <c r="O38" s="105" t="s">
        <v>307</v>
      </c>
    </row>
    <row r="39" spans="1:15">
      <c r="B39" s="521">
        <f>+B38+1</f>
        <v>25</v>
      </c>
      <c r="C39" s="613">
        <f t="shared" si="5"/>
        <v>19.89</v>
      </c>
      <c r="D39" s="519">
        <v>44694</v>
      </c>
      <c r="E39" s="31" t="s">
        <v>254</v>
      </c>
      <c r="F39" s="578" t="s">
        <v>522</v>
      </c>
      <c r="G39" s="520" t="s">
        <v>457</v>
      </c>
      <c r="H39" s="24" t="s">
        <v>492</v>
      </c>
      <c r="I39" s="593"/>
      <c r="J39" s="593">
        <v>16.57</v>
      </c>
      <c r="K39" s="587"/>
      <c r="L39" s="587"/>
      <c r="M39" s="588">
        <f t="shared" si="1"/>
        <v>16.57</v>
      </c>
      <c r="N39" s="620">
        <v>3.32</v>
      </c>
      <c r="O39" s="70" t="s">
        <v>268</v>
      </c>
    </row>
    <row r="40" spans="1:15" s="45" customFormat="1">
      <c r="B40" s="177">
        <f t="shared" ref="B40:B64" si="10">B39+1</f>
        <v>26</v>
      </c>
      <c r="C40" s="612">
        <f t="shared" si="5"/>
        <v>24.99</v>
      </c>
      <c r="D40" s="523">
        <v>44694</v>
      </c>
      <c r="E40" s="527" t="s">
        <v>254</v>
      </c>
      <c r="F40" s="579" t="s">
        <v>523</v>
      </c>
      <c r="G40" s="524" t="s">
        <v>457</v>
      </c>
      <c r="H40" s="525" t="s">
        <v>492</v>
      </c>
      <c r="I40" s="599"/>
      <c r="J40" s="590">
        <v>20.82</v>
      </c>
      <c r="K40" s="590"/>
      <c r="L40" s="590"/>
      <c r="M40" s="591">
        <f t="shared" si="1"/>
        <v>20.82</v>
      </c>
      <c r="N40" s="619">
        <v>4.17</v>
      </c>
      <c r="O40" s="105" t="s">
        <v>268</v>
      </c>
    </row>
    <row r="41" spans="1:15">
      <c r="B41" s="521">
        <f t="shared" si="10"/>
        <v>27</v>
      </c>
      <c r="C41" s="613">
        <f t="shared" si="5"/>
        <v>11.99</v>
      </c>
      <c r="D41" s="519">
        <v>44696</v>
      </c>
      <c r="E41" s="31" t="s">
        <v>254</v>
      </c>
      <c r="F41" s="578" t="s">
        <v>524</v>
      </c>
      <c r="G41" s="520" t="s">
        <v>457</v>
      </c>
      <c r="H41" s="24" t="s">
        <v>492</v>
      </c>
      <c r="I41" s="593"/>
      <c r="J41" s="593">
        <v>9.99</v>
      </c>
      <c r="K41" s="587"/>
      <c r="L41" s="587"/>
      <c r="M41" s="588">
        <f t="shared" si="1"/>
        <v>9.99</v>
      </c>
      <c r="N41" s="622">
        <v>2</v>
      </c>
      <c r="O41" s="70" t="s">
        <v>268</v>
      </c>
    </row>
    <row r="42" spans="1:15">
      <c r="B42" s="177">
        <f>B41+1</f>
        <v>28</v>
      </c>
      <c r="C42" s="612">
        <f t="shared" ref="C42:C47" si="11">SUM(M42:N42)</f>
        <v>122.4</v>
      </c>
      <c r="D42" s="523">
        <v>44702</v>
      </c>
      <c r="E42" s="527" t="s">
        <v>254</v>
      </c>
      <c r="F42" s="161" t="s">
        <v>501</v>
      </c>
      <c r="G42" s="524" t="s">
        <v>457</v>
      </c>
      <c r="H42" s="525" t="s">
        <v>506</v>
      </c>
      <c r="I42" s="590"/>
      <c r="J42" s="590">
        <v>122.4</v>
      </c>
      <c r="K42" s="590"/>
      <c r="L42" s="590"/>
      <c r="M42" s="591">
        <f t="shared" si="1"/>
        <v>122.4</v>
      </c>
      <c r="N42" s="621"/>
      <c r="O42" s="105" t="s">
        <v>268</v>
      </c>
    </row>
    <row r="43" spans="1:15" s="45" customFormat="1" ht="15.75" customHeight="1">
      <c r="B43" s="128">
        <f t="shared" si="10"/>
        <v>29</v>
      </c>
      <c r="C43" s="613">
        <f t="shared" si="11"/>
        <v>9.36</v>
      </c>
      <c r="D43" s="519">
        <v>44702</v>
      </c>
      <c r="E43" s="31" t="s">
        <v>254</v>
      </c>
      <c r="F43" s="575" t="s">
        <v>525</v>
      </c>
      <c r="G43" s="520" t="s">
        <v>457</v>
      </c>
      <c r="H43" s="24" t="s">
        <v>525</v>
      </c>
      <c r="I43" s="587"/>
      <c r="J43" s="587">
        <v>7.8</v>
      </c>
      <c r="K43" s="587"/>
      <c r="L43" s="587"/>
      <c r="M43" s="588">
        <f t="shared" si="1"/>
        <v>7.8</v>
      </c>
      <c r="N43" s="620">
        <f>M43*20%</f>
        <v>1.56</v>
      </c>
      <c r="O43" s="70" t="s">
        <v>323</v>
      </c>
    </row>
    <row r="44" spans="1:15" s="45" customFormat="1">
      <c r="A44" s="524"/>
      <c r="B44" s="522">
        <f>B43+1</f>
        <v>30</v>
      </c>
      <c r="C44" s="614">
        <f t="shared" si="11"/>
        <v>118.17</v>
      </c>
      <c r="D44" s="523">
        <v>44704</v>
      </c>
      <c r="E44" s="552" t="s">
        <v>519</v>
      </c>
      <c r="F44" s="576" t="s">
        <v>465</v>
      </c>
      <c r="G44" s="524" t="s">
        <v>457</v>
      </c>
      <c r="H44" s="525" t="s">
        <v>466</v>
      </c>
      <c r="I44" s="589"/>
      <c r="J44" s="592">
        <v>112.55</v>
      </c>
      <c r="K44" s="589"/>
      <c r="L44" s="590"/>
      <c r="M44" s="591">
        <f t="shared" ref="M44:M71" si="12">SUM(I44:L44)</f>
        <v>112.55</v>
      </c>
      <c r="N44" s="619">
        <v>5.62</v>
      </c>
      <c r="O44" s="179" t="s">
        <v>310</v>
      </c>
    </row>
    <row r="45" spans="1:15" s="45" customFormat="1" ht="15.75" customHeight="1">
      <c r="B45" s="521">
        <f>B44+1</f>
        <v>31</v>
      </c>
      <c r="C45" s="613">
        <f t="shared" si="11"/>
        <v>13.35</v>
      </c>
      <c r="D45" s="519">
        <v>44704</v>
      </c>
      <c r="E45" s="31" t="s">
        <v>469</v>
      </c>
      <c r="F45" s="575" t="s">
        <v>526</v>
      </c>
      <c r="G45" s="520" t="s">
        <v>457</v>
      </c>
      <c r="H45" s="24" t="s">
        <v>492</v>
      </c>
      <c r="I45" s="595">
        <v>11.12</v>
      </c>
      <c r="J45" s="595"/>
      <c r="K45" s="596"/>
      <c r="L45" s="596"/>
      <c r="M45" s="588">
        <f t="shared" si="12"/>
        <v>11.12</v>
      </c>
      <c r="N45" s="623">
        <v>2.23</v>
      </c>
      <c r="O45" s="70" t="s">
        <v>307</v>
      </c>
    </row>
    <row r="46" spans="1:15" s="45" customFormat="1">
      <c r="B46" s="522">
        <f>B45+1</f>
        <v>32</v>
      </c>
      <c r="C46" s="612">
        <f t="shared" si="11"/>
        <v>17.989999999999998</v>
      </c>
      <c r="D46" s="523">
        <v>44704</v>
      </c>
      <c r="E46" s="527" t="s">
        <v>469</v>
      </c>
      <c r="F46" s="579" t="s">
        <v>495</v>
      </c>
      <c r="G46" s="524" t="s">
        <v>457</v>
      </c>
      <c r="H46" s="525" t="s">
        <v>492</v>
      </c>
      <c r="I46" s="599"/>
      <c r="J46" s="590">
        <v>14.99</v>
      </c>
      <c r="K46" s="590"/>
      <c r="L46" s="590"/>
      <c r="M46" s="591">
        <f t="shared" si="12"/>
        <v>14.99</v>
      </c>
      <c r="N46" s="619">
        <v>3</v>
      </c>
      <c r="O46" s="105" t="s">
        <v>268</v>
      </c>
    </row>
    <row r="47" spans="1:15">
      <c r="B47" s="521">
        <f>B46+1</f>
        <v>33</v>
      </c>
      <c r="C47" s="615">
        <f t="shared" si="11"/>
        <v>8.52</v>
      </c>
      <c r="D47" s="519">
        <v>44704</v>
      </c>
      <c r="E47" s="31" t="s">
        <v>469</v>
      </c>
      <c r="F47" s="582" t="s">
        <v>527</v>
      </c>
      <c r="G47" s="520" t="s">
        <v>457</v>
      </c>
      <c r="H47" s="24" t="s">
        <v>492</v>
      </c>
      <c r="I47" s="593"/>
      <c r="J47" s="593">
        <v>7.11</v>
      </c>
      <c r="K47" s="587"/>
      <c r="L47" s="587"/>
      <c r="M47" s="588">
        <f t="shared" si="12"/>
        <v>7.11</v>
      </c>
      <c r="N47" s="620">
        <v>1.41</v>
      </c>
      <c r="O47" s="70" t="s">
        <v>268</v>
      </c>
    </row>
    <row r="48" spans="1:15" s="45" customFormat="1">
      <c r="B48" s="522">
        <f>B47+1</f>
        <v>34</v>
      </c>
      <c r="C48" s="614">
        <f t="shared" ref="C48:C50" si="13">SUM(M48:N48)</f>
        <v>9.98</v>
      </c>
      <c r="D48" s="523">
        <v>44704</v>
      </c>
      <c r="E48" s="527" t="s">
        <v>469</v>
      </c>
      <c r="F48" s="576" t="s">
        <v>523</v>
      </c>
      <c r="G48" s="524" t="s">
        <v>457</v>
      </c>
      <c r="H48" s="525" t="s">
        <v>492</v>
      </c>
      <c r="I48" s="589"/>
      <c r="J48" s="592">
        <v>8.32</v>
      </c>
      <c r="K48" s="589"/>
      <c r="L48" s="590"/>
      <c r="M48" s="591">
        <f t="shared" si="12"/>
        <v>8.32</v>
      </c>
      <c r="N48" s="619">
        <v>1.66</v>
      </c>
      <c r="O48" s="105" t="s">
        <v>268</v>
      </c>
    </row>
    <row r="49" spans="2:15" s="45" customFormat="1" ht="15.75" customHeight="1">
      <c r="B49" s="521">
        <f>B47+1</f>
        <v>34</v>
      </c>
      <c r="C49" s="615">
        <f>SUM(M49:N49)</f>
        <v>5748</v>
      </c>
      <c r="D49" s="519">
        <v>44704</v>
      </c>
      <c r="E49" s="31" t="s">
        <v>469</v>
      </c>
      <c r="F49" s="575" t="s">
        <v>528</v>
      </c>
      <c r="G49" s="520" t="s">
        <v>457</v>
      </c>
      <c r="H49" s="24" t="s">
        <v>529</v>
      </c>
      <c r="I49" s="595"/>
      <c r="J49" s="595">
        <v>4790</v>
      </c>
      <c r="K49" s="596"/>
      <c r="L49" s="596"/>
      <c r="M49" s="588">
        <f t="shared" ref="M49:M50" si="14">SUM(I49:L49)</f>
        <v>4790</v>
      </c>
      <c r="N49" s="623">
        <f>M49*20%</f>
        <v>958</v>
      </c>
      <c r="O49" s="70" t="s">
        <v>312</v>
      </c>
    </row>
    <row r="50" spans="2:15" s="45" customFormat="1" ht="15.75" customHeight="1">
      <c r="B50" s="522">
        <f>B48+1</f>
        <v>35</v>
      </c>
      <c r="C50" s="614">
        <f t="shared" si="13"/>
        <v>470</v>
      </c>
      <c r="D50" s="523">
        <v>44704</v>
      </c>
      <c r="E50" s="527" t="s">
        <v>469</v>
      </c>
      <c r="F50" s="579" t="s">
        <v>531</v>
      </c>
      <c r="G50" s="524" t="s">
        <v>457</v>
      </c>
      <c r="H50" s="525" t="s">
        <v>530</v>
      </c>
      <c r="I50" s="600"/>
      <c r="J50" s="600">
        <v>470</v>
      </c>
      <c r="K50" s="601"/>
      <c r="L50" s="601"/>
      <c r="M50" s="591">
        <f t="shared" si="14"/>
        <v>470</v>
      </c>
      <c r="N50" s="624"/>
      <c r="O50" s="105" t="s">
        <v>321</v>
      </c>
    </row>
    <row r="51" spans="2:15" s="45" customFormat="1" ht="15.75" customHeight="1">
      <c r="B51" s="521">
        <f>B50+1</f>
        <v>36</v>
      </c>
      <c r="C51" s="615">
        <f t="shared" ref="C51:C61" si="15">SUM(M51:N51)</f>
        <v>35.96</v>
      </c>
      <c r="D51" s="519">
        <v>44705</v>
      </c>
      <c r="E51" s="31" t="s">
        <v>532</v>
      </c>
      <c r="F51" s="575" t="s">
        <v>533</v>
      </c>
      <c r="G51" s="520" t="s">
        <v>457</v>
      </c>
      <c r="H51" s="24" t="s">
        <v>492</v>
      </c>
      <c r="I51" s="595"/>
      <c r="J51" s="595">
        <f>7.49*4</f>
        <v>29.96</v>
      </c>
      <c r="K51" s="596"/>
      <c r="L51" s="596"/>
      <c r="M51" s="588">
        <f t="shared" si="12"/>
        <v>29.96</v>
      </c>
      <c r="N51" s="620">
        <v>6</v>
      </c>
      <c r="O51" s="70" t="s">
        <v>268</v>
      </c>
    </row>
    <row r="52" spans="2:15" s="45" customFormat="1" ht="15.75" customHeight="1">
      <c r="B52" s="522">
        <f t="shared" ref="B52:B56" si="16">B51+1</f>
        <v>37</v>
      </c>
      <c r="C52" s="614">
        <f t="shared" si="15"/>
        <v>119.64</v>
      </c>
      <c r="D52" s="523">
        <v>44705</v>
      </c>
      <c r="E52" s="527" t="s">
        <v>254</v>
      </c>
      <c r="F52" s="579" t="s">
        <v>534</v>
      </c>
      <c r="G52" s="524" t="s">
        <v>457</v>
      </c>
      <c r="H52" s="525" t="s">
        <v>492</v>
      </c>
      <c r="I52" s="600"/>
      <c r="J52" s="600">
        <v>99.69</v>
      </c>
      <c r="K52" s="601"/>
      <c r="L52" s="601"/>
      <c r="M52" s="591">
        <f t="shared" si="12"/>
        <v>99.69</v>
      </c>
      <c r="N52" s="624">
        <v>19.95</v>
      </c>
      <c r="O52" s="105" t="s">
        <v>345</v>
      </c>
    </row>
    <row r="53" spans="2:15" ht="15" customHeight="1">
      <c r="B53" s="521">
        <f t="shared" si="16"/>
        <v>38</v>
      </c>
      <c r="C53" s="615">
        <f t="shared" si="15"/>
        <v>279</v>
      </c>
      <c r="D53" s="519">
        <v>44705</v>
      </c>
      <c r="E53" s="31" t="s">
        <v>254</v>
      </c>
      <c r="F53" s="575" t="s">
        <v>535</v>
      </c>
      <c r="G53" s="520" t="s">
        <v>457</v>
      </c>
      <c r="H53" s="24" t="s">
        <v>536</v>
      </c>
      <c r="I53" s="587"/>
      <c r="J53" s="587">
        <v>232.5</v>
      </c>
      <c r="K53" s="587"/>
      <c r="L53" s="587"/>
      <c r="M53" s="588">
        <f t="shared" si="12"/>
        <v>232.5</v>
      </c>
      <c r="N53" s="620">
        <f>M53*20%</f>
        <v>46.5</v>
      </c>
      <c r="O53" s="70" t="s">
        <v>311</v>
      </c>
    </row>
    <row r="54" spans="2:15">
      <c r="B54" s="177">
        <f>B53+1</f>
        <v>39</v>
      </c>
      <c r="C54" s="612">
        <f t="shared" si="15"/>
        <v>319</v>
      </c>
      <c r="D54" s="523">
        <v>44705</v>
      </c>
      <c r="E54" s="527" t="s">
        <v>254</v>
      </c>
      <c r="F54" s="579" t="s">
        <v>537</v>
      </c>
      <c r="G54" s="524" t="s">
        <v>457</v>
      </c>
      <c r="H54" s="525" t="s">
        <v>536</v>
      </c>
      <c r="I54" s="599"/>
      <c r="J54" s="590">
        <v>265.83</v>
      </c>
      <c r="K54" s="590"/>
      <c r="L54" s="590"/>
      <c r="M54" s="591">
        <f t="shared" si="12"/>
        <v>265.83</v>
      </c>
      <c r="N54" s="619">
        <f>M54*20%</f>
        <v>53.17</v>
      </c>
      <c r="O54" s="105" t="s">
        <v>311</v>
      </c>
    </row>
    <row r="55" spans="2:15">
      <c r="B55" s="521">
        <f t="shared" si="16"/>
        <v>40</v>
      </c>
      <c r="C55" s="613">
        <f t="shared" si="15"/>
        <v>50.85</v>
      </c>
      <c r="D55" s="519">
        <v>44707</v>
      </c>
      <c r="E55" s="31" t="s">
        <v>254</v>
      </c>
      <c r="F55" s="575" t="s">
        <v>539</v>
      </c>
      <c r="G55" s="520" t="s">
        <v>457</v>
      </c>
      <c r="H55" s="24" t="s">
        <v>492</v>
      </c>
      <c r="I55" s="587"/>
      <c r="J55" s="587">
        <v>42.36</v>
      </c>
      <c r="K55" s="587"/>
      <c r="L55" s="587"/>
      <c r="M55" s="588">
        <f t="shared" si="12"/>
        <v>42.36</v>
      </c>
      <c r="N55" s="620">
        <v>8.49</v>
      </c>
      <c r="O55" s="70" t="s">
        <v>345</v>
      </c>
    </row>
    <row r="56" spans="2:15">
      <c r="B56" s="522">
        <f t="shared" si="16"/>
        <v>41</v>
      </c>
      <c r="C56" s="612">
        <f t="shared" si="15"/>
        <v>11.99</v>
      </c>
      <c r="D56" s="523">
        <v>44707</v>
      </c>
      <c r="E56" s="527" t="s">
        <v>254</v>
      </c>
      <c r="F56" s="579" t="s">
        <v>540</v>
      </c>
      <c r="G56" s="524" t="s">
        <v>457</v>
      </c>
      <c r="H56" s="525" t="s">
        <v>492</v>
      </c>
      <c r="I56" s="590"/>
      <c r="J56" s="590">
        <v>9.99</v>
      </c>
      <c r="K56" s="590"/>
      <c r="L56" s="590"/>
      <c r="M56" s="591">
        <f t="shared" si="12"/>
        <v>9.99</v>
      </c>
      <c r="N56" s="621">
        <v>2</v>
      </c>
      <c r="O56" s="105" t="s">
        <v>268</v>
      </c>
    </row>
    <row r="57" spans="2:15">
      <c r="B57" s="521">
        <f t="shared" si="10"/>
        <v>42</v>
      </c>
      <c r="C57" s="616">
        <f t="shared" si="15"/>
        <v>202.97</v>
      </c>
      <c r="D57" s="519">
        <v>44711</v>
      </c>
      <c r="E57" s="31" t="s">
        <v>254</v>
      </c>
      <c r="F57" s="578" t="s">
        <v>538</v>
      </c>
      <c r="G57" s="520" t="s">
        <v>457</v>
      </c>
      <c r="H57" s="24" t="s">
        <v>541</v>
      </c>
      <c r="I57" s="593"/>
      <c r="J57" s="587">
        <v>169.15</v>
      </c>
      <c r="K57" s="587"/>
      <c r="L57" s="587"/>
      <c r="M57" s="588">
        <f t="shared" si="12"/>
        <v>169.15</v>
      </c>
      <c r="N57" s="620">
        <v>33.82</v>
      </c>
      <c r="O57" s="70" t="s">
        <v>345</v>
      </c>
    </row>
    <row r="58" spans="2:15" s="45" customFormat="1" ht="15.75" customHeight="1">
      <c r="B58" s="177">
        <f t="shared" si="10"/>
        <v>43</v>
      </c>
      <c r="C58" s="612">
        <f t="shared" si="15"/>
        <v>612.54</v>
      </c>
      <c r="D58" s="523">
        <v>44712</v>
      </c>
      <c r="E58" s="527" t="s">
        <v>507</v>
      </c>
      <c r="F58" s="161" t="s">
        <v>508</v>
      </c>
      <c r="G58" s="524" t="s">
        <v>457</v>
      </c>
      <c r="H58" s="525" t="s">
        <v>509</v>
      </c>
      <c r="I58" s="590">
        <v>612.54</v>
      </c>
      <c r="J58" s="590"/>
      <c r="K58" s="590"/>
      <c r="L58" s="590"/>
      <c r="M58" s="591">
        <f t="shared" si="12"/>
        <v>612.54</v>
      </c>
      <c r="N58" s="619"/>
      <c r="O58" s="105" t="s">
        <v>306</v>
      </c>
    </row>
    <row r="59" spans="2:15" s="45" customFormat="1">
      <c r="B59" s="128">
        <f t="shared" si="10"/>
        <v>44</v>
      </c>
      <c r="C59" s="615">
        <f t="shared" si="15"/>
        <v>63</v>
      </c>
      <c r="D59" s="519">
        <v>44713</v>
      </c>
      <c r="E59" s="31" t="s">
        <v>254</v>
      </c>
      <c r="F59" s="168" t="s">
        <v>544</v>
      </c>
      <c r="G59" s="520" t="s">
        <v>457</v>
      </c>
      <c r="H59" s="24" t="s">
        <v>543</v>
      </c>
      <c r="I59" s="602"/>
      <c r="J59" s="588">
        <v>52.5</v>
      </c>
      <c r="K59" s="587"/>
      <c r="L59" s="587"/>
      <c r="M59" s="588">
        <f t="shared" si="12"/>
        <v>52.5</v>
      </c>
      <c r="N59" s="622">
        <f>M59*20%</f>
        <v>10.5</v>
      </c>
      <c r="O59" s="70" t="s">
        <v>268</v>
      </c>
    </row>
    <row r="60" spans="2:15" s="45" customFormat="1" ht="15.75" customHeight="1">
      <c r="B60" s="177">
        <f t="shared" si="10"/>
        <v>45</v>
      </c>
      <c r="C60" s="612">
        <f t="shared" si="15"/>
        <v>19.5</v>
      </c>
      <c r="D60" s="523">
        <v>44714</v>
      </c>
      <c r="E60" s="527" t="s">
        <v>254</v>
      </c>
      <c r="F60" s="161" t="s">
        <v>515</v>
      </c>
      <c r="G60" s="524" t="s">
        <v>457</v>
      </c>
      <c r="H60" s="525" t="s">
        <v>545</v>
      </c>
      <c r="I60" s="590"/>
      <c r="J60" s="591">
        <f>19.5/120%</f>
        <v>16.25</v>
      </c>
      <c r="K60" s="590"/>
      <c r="L60" s="590"/>
      <c r="M60" s="591">
        <f t="shared" ref="M60" si="17">SUM(I60:L60)</f>
        <v>16.25</v>
      </c>
      <c r="N60" s="621">
        <v>3.25</v>
      </c>
      <c r="O60" s="105" t="s">
        <v>268</v>
      </c>
    </row>
    <row r="61" spans="2:15" s="45" customFormat="1">
      <c r="B61" s="521">
        <f>B60+1</f>
        <v>46</v>
      </c>
      <c r="C61" s="613">
        <f t="shared" si="15"/>
        <v>25.74</v>
      </c>
      <c r="D61" s="519">
        <v>44714</v>
      </c>
      <c r="E61" s="574" t="s">
        <v>254</v>
      </c>
      <c r="F61" s="363" t="s">
        <v>546</v>
      </c>
      <c r="G61" s="520" t="s">
        <v>457</v>
      </c>
      <c r="H61" s="24" t="s">
        <v>547</v>
      </c>
      <c r="I61" s="593"/>
      <c r="J61" s="598">
        <v>21.45</v>
      </c>
      <c r="K61" s="593"/>
      <c r="L61" s="587"/>
      <c r="M61" s="588">
        <f t="shared" ref="M61" si="18">SUM(I61:L61)</f>
        <v>21.45</v>
      </c>
      <c r="N61" s="620">
        <f>M61*20%</f>
        <v>4.29</v>
      </c>
      <c r="O61" s="70" t="s">
        <v>268</v>
      </c>
    </row>
    <row r="62" spans="2:15" s="45" customFormat="1">
      <c r="B62" s="177">
        <f>B61+1</f>
        <v>47</v>
      </c>
      <c r="C62" s="612">
        <f t="shared" ref="C62:C78" si="19">SUM(M62:N62)</f>
        <v>38.25</v>
      </c>
      <c r="D62" s="523">
        <v>44714</v>
      </c>
      <c r="E62" s="527" t="s">
        <v>254</v>
      </c>
      <c r="F62" s="161" t="s">
        <v>548</v>
      </c>
      <c r="G62" s="524" t="s">
        <v>457</v>
      </c>
      <c r="H62" s="525" t="s">
        <v>516</v>
      </c>
      <c r="I62" s="599"/>
      <c r="J62" s="591">
        <v>31.88</v>
      </c>
      <c r="K62" s="590"/>
      <c r="L62" s="590"/>
      <c r="M62" s="591">
        <f t="shared" si="12"/>
        <v>31.88</v>
      </c>
      <c r="N62" s="621">
        <v>6.37</v>
      </c>
      <c r="O62" s="105" t="s">
        <v>268</v>
      </c>
    </row>
    <row r="63" spans="2:15" s="45" customFormat="1">
      <c r="B63" s="521">
        <f>B62+1</f>
        <v>48</v>
      </c>
      <c r="C63" s="615">
        <f>SUM(M63:N63)</f>
        <v>26</v>
      </c>
      <c r="D63" s="519">
        <v>44715</v>
      </c>
      <c r="E63" s="31" t="s">
        <v>254</v>
      </c>
      <c r="F63" s="168" t="s">
        <v>515</v>
      </c>
      <c r="G63" s="520" t="s">
        <v>457</v>
      </c>
      <c r="H63" s="24" t="s">
        <v>545</v>
      </c>
      <c r="I63" s="602"/>
      <c r="J63" s="587">
        <v>21.67</v>
      </c>
      <c r="K63" s="587"/>
      <c r="L63" s="587"/>
      <c r="M63" s="588">
        <v>21.67</v>
      </c>
      <c r="N63" s="620">
        <v>4.33</v>
      </c>
      <c r="O63" s="70" t="s">
        <v>268</v>
      </c>
    </row>
    <row r="64" spans="2:15">
      <c r="B64" s="522">
        <f t="shared" si="10"/>
        <v>49</v>
      </c>
      <c r="C64" s="612">
        <f t="shared" si="19"/>
        <v>15.94</v>
      </c>
      <c r="D64" s="523">
        <v>44718</v>
      </c>
      <c r="E64" s="527" t="s">
        <v>469</v>
      </c>
      <c r="F64" s="577" t="s">
        <v>549</v>
      </c>
      <c r="G64" s="524" t="s">
        <v>457</v>
      </c>
      <c r="H64" s="525" t="s">
        <v>492</v>
      </c>
      <c r="I64" s="589"/>
      <c r="J64" s="589">
        <v>13.28</v>
      </c>
      <c r="K64" s="590"/>
      <c r="L64" s="590"/>
      <c r="M64" s="591">
        <f t="shared" ref="M64" si="20">SUM(I64:L64)</f>
        <v>13.28</v>
      </c>
      <c r="N64" s="621">
        <f>M64*20%</f>
        <v>2.66</v>
      </c>
      <c r="O64" s="105" t="s">
        <v>268</v>
      </c>
    </row>
    <row r="65" spans="2:15">
      <c r="B65" s="128">
        <f>B64+1</f>
        <v>50</v>
      </c>
      <c r="C65" s="615">
        <f t="shared" si="19"/>
        <v>3.99</v>
      </c>
      <c r="D65" s="519">
        <v>44718</v>
      </c>
      <c r="E65" s="31" t="s">
        <v>469</v>
      </c>
      <c r="F65" s="578" t="s">
        <v>527</v>
      </c>
      <c r="G65" s="520" t="s">
        <v>457</v>
      </c>
      <c r="H65" s="24" t="s">
        <v>492</v>
      </c>
      <c r="I65" s="603"/>
      <c r="J65" s="593">
        <v>3.32</v>
      </c>
      <c r="K65" s="587"/>
      <c r="L65" s="587"/>
      <c r="M65" s="588">
        <f t="shared" ref="M65" si="21">SUM(I65:L65)</f>
        <v>3.32</v>
      </c>
      <c r="N65" s="622">
        <v>0.67</v>
      </c>
      <c r="O65" s="70" t="s">
        <v>268</v>
      </c>
    </row>
    <row r="66" spans="2:15" s="45" customFormat="1">
      <c r="B66" s="177">
        <f>B64+1</f>
        <v>50</v>
      </c>
      <c r="C66" s="612">
        <f t="shared" si="19"/>
        <v>750</v>
      </c>
      <c r="D66" s="523">
        <v>44718</v>
      </c>
      <c r="E66" s="527" t="s">
        <v>469</v>
      </c>
      <c r="F66" s="161" t="s">
        <v>550</v>
      </c>
      <c r="G66" s="524" t="s">
        <v>457</v>
      </c>
      <c r="H66" s="525" t="s">
        <v>551</v>
      </c>
      <c r="I66" s="599"/>
      <c r="J66" s="590">
        <v>750</v>
      </c>
      <c r="K66" s="590"/>
      <c r="L66" s="590"/>
      <c r="M66" s="591">
        <f t="shared" si="12"/>
        <v>750</v>
      </c>
      <c r="N66" s="619"/>
      <c r="O66" s="105" t="s">
        <v>268</v>
      </c>
    </row>
    <row r="67" spans="2:15" s="45" customFormat="1">
      <c r="B67" s="128">
        <f>B66+1</f>
        <v>51</v>
      </c>
      <c r="C67" s="615">
        <f t="shared" si="19"/>
        <v>11.99</v>
      </c>
      <c r="D67" s="519">
        <v>44718</v>
      </c>
      <c r="E67" s="31" t="s">
        <v>469</v>
      </c>
      <c r="F67" s="575" t="s">
        <v>552</v>
      </c>
      <c r="G67" s="520" t="s">
        <v>457</v>
      </c>
      <c r="H67" s="24" t="s">
        <v>492</v>
      </c>
      <c r="I67" s="602"/>
      <c r="J67" s="588">
        <v>9.99</v>
      </c>
      <c r="K67" s="587"/>
      <c r="L67" s="587"/>
      <c r="M67" s="588">
        <f t="shared" si="12"/>
        <v>9.99</v>
      </c>
      <c r="N67" s="622">
        <f>M67*20%</f>
        <v>2</v>
      </c>
      <c r="O67" s="70" t="s">
        <v>268</v>
      </c>
    </row>
    <row r="68" spans="2:15">
      <c r="B68" s="522">
        <f>B67+1</f>
        <v>52</v>
      </c>
      <c r="C68" s="612">
        <f t="shared" si="19"/>
        <v>113.95</v>
      </c>
      <c r="D68" s="523">
        <v>44719</v>
      </c>
      <c r="E68" s="527" t="s">
        <v>469</v>
      </c>
      <c r="F68" s="161" t="s">
        <v>553</v>
      </c>
      <c r="G68" s="524" t="s">
        <v>457</v>
      </c>
      <c r="H68" s="528" t="s">
        <v>554</v>
      </c>
      <c r="I68" s="590"/>
      <c r="J68" s="590">
        <v>113.95</v>
      </c>
      <c r="K68" s="590"/>
      <c r="L68" s="590"/>
      <c r="M68" s="591">
        <f t="shared" ref="M68" si="22">SUM(I68:L68)</f>
        <v>113.95</v>
      </c>
      <c r="N68" s="619"/>
      <c r="O68" s="105" t="s">
        <v>319</v>
      </c>
    </row>
    <row r="69" spans="2:15">
      <c r="B69" s="732">
        <f>B68+1</f>
        <v>53</v>
      </c>
      <c r="C69" s="734">
        <f>M69+M70+N69+N70</f>
        <v>103.44</v>
      </c>
      <c r="D69" s="735">
        <v>44721</v>
      </c>
      <c r="E69" s="736" t="s">
        <v>519</v>
      </c>
      <c r="F69" s="363" t="s">
        <v>520</v>
      </c>
      <c r="G69" s="733" t="s">
        <v>457</v>
      </c>
      <c r="H69" s="737" t="s">
        <v>649</v>
      </c>
      <c r="I69" s="593">
        <v>53.39</v>
      </c>
      <c r="J69" s="598"/>
      <c r="K69" s="593"/>
      <c r="L69" s="587"/>
      <c r="M69" s="588">
        <f t="shared" ref="M69:M70" si="23">SUM(I69:L69)</f>
        <v>53.39</v>
      </c>
      <c r="N69" s="620"/>
      <c r="O69" s="364" t="s">
        <v>306</v>
      </c>
    </row>
    <row r="70" spans="2:15">
      <c r="B70" s="732"/>
      <c r="C70" s="734"/>
      <c r="D70" s="735"/>
      <c r="E70" s="736"/>
      <c r="F70" s="365" t="s">
        <v>520</v>
      </c>
      <c r="G70" s="733"/>
      <c r="H70" s="737"/>
      <c r="I70" s="593">
        <v>50.05</v>
      </c>
      <c r="J70" s="598"/>
      <c r="K70" s="593"/>
      <c r="L70" s="587"/>
      <c r="M70" s="588">
        <f t="shared" si="23"/>
        <v>50.05</v>
      </c>
      <c r="N70" s="620"/>
      <c r="O70" s="364" t="s">
        <v>521</v>
      </c>
    </row>
    <row r="71" spans="2:15" s="45" customFormat="1">
      <c r="B71" s="522">
        <f>B69+1</f>
        <v>54</v>
      </c>
      <c r="C71" s="614">
        <f t="shared" si="19"/>
        <v>240</v>
      </c>
      <c r="D71" s="523">
        <v>44722</v>
      </c>
      <c r="E71" s="527" t="s">
        <v>469</v>
      </c>
      <c r="F71" s="161" t="s">
        <v>555</v>
      </c>
      <c r="G71" s="524" t="s">
        <v>457</v>
      </c>
      <c r="H71" s="525" t="s">
        <v>556</v>
      </c>
      <c r="I71" s="590"/>
      <c r="J71" s="590">
        <v>240</v>
      </c>
      <c r="K71" s="590"/>
      <c r="L71" s="590"/>
      <c r="M71" s="591">
        <f t="shared" si="12"/>
        <v>240</v>
      </c>
      <c r="N71" s="619"/>
      <c r="O71" s="105" t="s">
        <v>268</v>
      </c>
    </row>
    <row r="72" spans="2:15" s="45" customFormat="1">
      <c r="B72" s="128">
        <f>B71+1</f>
        <v>55</v>
      </c>
      <c r="C72" s="615">
        <f t="shared" si="19"/>
        <v>15.98</v>
      </c>
      <c r="D72" s="519">
        <v>44722</v>
      </c>
      <c r="E72" s="31" t="s">
        <v>469</v>
      </c>
      <c r="F72" s="575" t="s">
        <v>557</v>
      </c>
      <c r="G72" s="520" t="s">
        <v>457</v>
      </c>
      <c r="H72" s="24" t="s">
        <v>492</v>
      </c>
      <c r="I72" s="602"/>
      <c r="J72" s="588">
        <v>13.32</v>
      </c>
      <c r="K72" s="587"/>
      <c r="L72" s="587"/>
      <c r="M72" s="588">
        <f t="shared" ref="M72:M128" si="24">SUM(I72:L72)</f>
        <v>13.32</v>
      </c>
      <c r="N72" s="622">
        <f>M72*20%</f>
        <v>2.66</v>
      </c>
      <c r="O72" s="70" t="s">
        <v>268</v>
      </c>
    </row>
    <row r="73" spans="2:15" s="45" customFormat="1">
      <c r="B73" s="729">
        <f>B72+1</f>
        <v>56</v>
      </c>
      <c r="C73" s="739">
        <f>SUM(M73:N74)</f>
        <v>4161</v>
      </c>
      <c r="D73" s="740">
        <v>44722</v>
      </c>
      <c r="E73" s="746" t="s">
        <v>469</v>
      </c>
      <c r="F73" s="747" t="s">
        <v>558</v>
      </c>
      <c r="G73" s="743" t="s">
        <v>457</v>
      </c>
      <c r="H73" s="744" t="s">
        <v>559</v>
      </c>
      <c r="I73" s="590"/>
      <c r="J73" s="590">
        <v>3300</v>
      </c>
      <c r="K73" s="590"/>
      <c r="L73" s="590"/>
      <c r="M73" s="591">
        <f t="shared" si="24"/>
        <v>3300</v>
      </c>
      <c r="N73" s="619">
        <v>693.5</v>
      </c>
      <c r="O73" s="105" t="s">
        <v>463</v>
      </c>
    </row>
    <row r="74" spans="2:15" s="45" customFormat="1">
      <c r="B74" s="729"/>
      <c r="C74" s="739"/>
      <c r="D74" s="740"/>
      <c r="E74" s="746"/>
      <c r="F74" s="747"/>
      <c r="G74" s="743"/>
      <c r="H74" s="744"/>
      <c r="I74" s="599"/>
      <c r="J74" s="590">
        <v>167.5</v>
      </c>
      <c r="K74" s="590"/>
      <c r="L74" s="590"/>
      <c r="M74" s="591">
        <f t="shared" si="24"/>
        <v>167.5</v>
      </c>
      <c r="N74" s="619"/>
      <c r="O74" s="105" t="s">
        <v>268</v>
      </c>
    </row>
    <row r="75" spans="2:15" s="45" customFormat="1">
      <c r="B75" s="128">
        <f>B73+1</f>
        <v>57</v>
      </c>
      <c r="C75" s="615">
        <f t="shared" si="19"/>
        <v>2.89</v>
      </c>
      <c r="D75" s="519">
        <v>44722</v>
      </c>
      <c r="E75" s="31" t="s">
        <v>469</v>
      </c>
      <c r="F75" s="575" t="s">
        <v>560</v>
      </c>
      <c r="G75" s="520" t="s">
        <v>457</v>
      </c>
      <c r="H75" s="24" t="s">
        <v>492</v>
      </c>
      <c r="I75" s="602"/>
      <c r="J75" s="588">
        <v>2.41</v>
      </c>
      <c r="K75" s="587"/>
      <c r="L75" s="587"/>
      <c r="M75" s="588">
        <f t="shared" si="24"/>
        <v>2.41</v>
      </c>
      <c r="N75" s="622">
        <f>M75*20%</f>
        <v>0.48</v>
      </c>
      <c r="O75" s="70" t="s">
        <v>345</v>
      </c>
    </row>
    <row r="76" spans="2:15" ht="15" customHeight="1">
      <c r="B76" s="522">
        <f>B75+1</f>
        <v>58</v>
      </c>
      <c r="C76" s="612">
        <f t="shared" si="19"/>
        <v>205.2</v>
      </c>
      <c r="D76" s="523">
        <v>44722</v>
      </c>
      <c r="E76" s="527" t="s">
        <v>469</v>
      </c>
      <c r="F76" s="579" t="s">
        <v>561</v>
      </c>
      <c r="G76" s="524" t="s">
        <v>457</v>
      </c>
      <c r="H76" s="525" t="s">
        <v>562</v>
      </c>
      <c r="I76" s="599"/>
      <c r="J76" s="590">
        <v>171</v>
      </c>
      <c r="K76" s="590"/>
      <c r="L76" s="590"/>
      <c r="M76" s="591">
        <f t="shared" si="24"/>
        <v>171</v>
      </c>
      <c r="N76" s="619">
        <f>M76*20%</f>
        <v>34.200000000000003</v>
      </c>
      <c r="O76" s="105" t="s">
        <v>268</v>
      </c>
    </row>
    <row r="77" spans="2:15">
      <c r="B77" s="521">
        <f>B76+1</f>
        <v>59</v>
      </c>
      <c r="C77" s="615">
        <f t="shared" si="19"/>
        <v>8.99</v>
      </c>
      <c r="D77" s="519">
        <v>44722</v>
      </c>
      <c r="E77" s="31" t="s">
        <v>469</v>
      </c>
      <c r="F77" s="575" t="s">
        <v>500</v>
      </c>
      <c r="G77" s="520" t="s">
        <v>457</v>
      </c>
      <c r="H77" s="24" t="s">
        <v>492</v>
      </c>
      <c r="I77" s="587"/>
      <c r="J77" s="587">
        <v>7.49</v>
      </c>
      <c r="K77" s="587"/>
      <c r="L77" s="587"/>
      <c r="M77" s="588">
        <f t="shared" si="24"/>
        <v>7.49</v>
      </c>
      <c r="N77" s="620">
        <v>1.5</v>
      </c>
      <c r="O77" s="70" t="s">
        <v>268</v>
      </c>
    </row>
    <row r="78" spans="2:15">
      <c r="B78" s="522">
        <f t="shared" ref="B78" si="25">B77+1</f>
        <v>60</v>
      </c>
      <c r="C78" s="612">
        <f t="shared" si="19"/>
        <v>39.979999999999997</v>
      </c>
      <c r="D78" s="523">
        <v>44722</v>
      </c>
      <c r="E78" s="527" t="s">
        <v>469</v>
      </c>
      <c r="F78" s="577" t="s">
        <v>563</v>
      </c>
      <c r="G78" s="524" t="s">
        <v>457</v>
      </c>
      <c r="H78" s="525" t="s">
        <v>564</v>
      </c>
      <c r="I78" s="589"/>
      <c r="J78" s="589">
        <v>33.32</v>
      </c>
      <c r="K78" s="590"/>
      <c r="L78" s="590"/>
      <c r="M78" s="591">
        <f t="shared" ref="M78" si="26">SUM(I78:L78)</f>
        <v>33.32</v>
      </c>
      <c r="N78" s="621">
        <v>6.66</v>
      </c>
      <c r="O78" s="105" t="s">
        <v>268</v>
      </c>
    </row>
    <row r="79" spans="2:15" s="45" customFormat="1" ht="15.75" customHeight="1">
      <c r="B79" s="128">
        <f>B78+1</f>
        <v>61</v>
      </c>
      <c r="C79" s="615">
        <f t="shared" ref="C79:C86" si="27">SUM(M79:N79)</f>
        <v>720</v>
      </c>
      <c r="D79" s="519">
        <v>44722</v>
      </c>
      <c r="E79" s="31" t="s">
        <v>469</v>
      </c>
      <c r="F79" s="140" t="s">
        <v>565</v>
      </c>
      <c r="G79" s="520" t="s">
        <v>457</v>
      </c>
      <c r="H79" s="24" t="s">
        <v>530</v>
      </c>
      <c r="I79" s="587"/>
      <c r="J79" s="588">
        <v>720</v>
      </c>
      <c r="K79" s="587"/>
      <c r="L79" s="587"/>
      <c r="M79" s="588">
        <f t="shared" si="24"/>
        <v>720</v>
      </c>
      <c r="N79" s="622"/>
      <c r="O79" s="70" t="s">
        <v>321</v>
      </c>
    </row>
    <row r="80" spans="2:15" s="45" customFormat="1" ht="15.75" customHeight="1">
      <c r="B80" s="522">
        <f t="shared" ref="B80:B87" si="28">B79+1</f>
        <v>62</v>
      </c>
      <c r="C80" s="612">
        <f t="shared" si="27"/>
        <v>731.53</v>
      </c>
      <c r="D80" s="523">
        <v>44722</v>
      </c>
      <c r="E80" s="527" t="s">
        <v>469</v>
      </c>
      <c r="F80" s="579" t="s">
        <v>566</v>
      </c>
      <c r="G80" s="524" t="s">
        <v>457</v>
      </c>
      <c r="H80" s="525" t="s">
        <v>567</v>
      </c>
      <c r="I80" s="590">
        <v>731.53</v>
      </c>
      <c r="J80" s="590"/>
      <c r="K80" s="590"/>
      <c r="L80" s="590"/>
      <c r="M80" s="591">
        <f t="shared" si="24"/>
        <v>731.53</v>
      </c>
      <c r="N80" s="619"/>
      <c r="O80" s="105" t="s">
        <v>314</v>
      </c>
    </row>
    <row r="81" spans="2:15" ht="15" customHeight="1">
      <c r="B81" s="521">
        <f t="shared" si="28"/>
        <v>63</v>
      </c>
      <c r="C81" s="615">
        <f t="shared" si="27"/>
        <v>9.4700000000000006</v>
      </c>
      <c r="D81" s="519">
        <v>44722</v>
      </c>
      <c r="E81" s="31" t="s">
        <v>469</v>
      </c>
      <c r="F81" s="575" t="s">
        <v>568</v>
      </c>
      <c r="G81" s="520" t="s">
        <v>457</v>
      </c>
      <c r="H81" s="24" t="s">
        <v>492</v>
      </c>
      <c r="I81" s="602"/>
      <c r="J81" s="587">
        <v>7.89</v>
      </c>
      <c r="K81" s="587"/>
      <c r="L81" s="587"/>
      <c r="M81" s="588">
        <f t="shared" si="24"/>
        <v>7.89</v>
      </c>
      <c r="N81" s="620">
        <f>M81*20%</f>
        <v>1.58</v>
      </c>
      <c r="O81" s="70" t="s">
        <v>268</v>
      </c>
    </row>
    <row r="82" spans="2:15">
      <c r="B82" s="522">
        <f t="shared" si="28"/>
        <v>64</v>
      </c>
      <c r="C82" s="612">
        <f t="shared" si="27"/>
        <v>75</v>
      </c>
      <c r="D82" s="523">
        <v>44722</v>
      </c>
      <c r="E82" s="527" t="s">
        <v>469</v>
      </c>
      <c r="F82" s="178" t="s">
        <v>569</v>
      </c>
      <c r="G82" s="524" t="s">
        <v>457</v>
      </c>
      <c r="H82" s="525" t="s">
        <v>570</v>
      </c>
      <c r="I82" s="589"/>
      <c r="J82" s="592">
        <v>75</v>
      </c>
      <c r="K82" s="589"/>
      <c r="L82" s="590"/>
      <c r="M82" s="591">
        <f t="shared" si="24"/>
        <v>75</v>
      </c>
      <c r="N82" s="619"/>
      <c r="O82" s="179" t="s">
        <v>268</v>
      </c>
    </row>
    <row r="83" spans="2:15" s="45" customFormat="1">
      <c r="B83" s="732">
        <f t="shared" si="28"/>
        <v>65</v>
      </c>
      <c r="C83" s="734">
        <f>SUM(M83:N84)</f>
        <v>451.8</v>
      </c>
      <c r="D83" s="735">
        <v>44722</v>
      </c>
      <c r="E83" s="738" t="s">
        <v>469</v>
      </c>
      <c r="F83" s="575" t="s">
        <v>571</v>
      </c>
      <c r="G83" s="733" t="s">
        <v>457</v>
      </c>
      <c r="H83" s="737" t="s">
        <v>572</v>
      </c>
      <c r="I83" s="587"/>
      <c r="J83" s="587">
        <v>346.5</v>
      </c>
      <c r="K83" s="587"/>
      <c r="L83" s="587"/>
      <c r="M83" s="588">
        <f t="shared" si="24"/>
        <v>346.5</v>
      </c>
      <c r="N83" s="620">
        <f>M83*20%</f>
        <v>69.3</v>
      </c>
      <c r="O83" s="70" t="s">
        <v>268</v>
      </c>
    </row>
    <row r="84" spans="2:15" s="45" customFormat="1">
      <c r="B84" s="732"/>
      <c r="C84" s="734"/>
      <c r="D84" s="735"/>
      <c r="E84" s="738"/>
      <c r="F84" s="575" t="s">
        <v>573</v>
      </c>
      <c r="G84" s="733"/>
      <c r="H84" s="737"/>
      <c r="I84" s="587"/>
      <c r="J84" s="587">
        <v>30</v>
      </c>
      <c r="K84" s="587"/>
      <c r="L84" s="587"/>
      <c r="M84" s="588">
        <v>30</v>
      </c>
      <c r="N84" s="620">
        <f>M84*20%</f>
        <v>6</v>
      </c>
      <c r="O84" s="70" t="s">
        <v>268</v>
      </c>
    </row>
    <row r="85" spans="2:15" s="45" customFormat="1">
      <c r="B85" s="522">
        <f>B83+1</f>
        <v>66</v>
      </c>
      <c r="C85" s="617">
        <f t="shared" si="27"/>
        <v>57.46</v>
      </c>
      <c r="D85" s="523">
        <v>44722</v>
      </c>
      <c r="E85" s="527" t="s">
        <v>469</v>
      </c>
      <c r="F85" s="579" t="s">
        <v>574</v>
      </c>
      <c r="G85" s="524" t="s">
        <v>457</v>
      </c>
      <c r="H85" s="525" t="s">
        <v>575</v>
      </c>
      <c r="I85" s="590">
        <v>47.88</v>
      </c>
      <c r="J85" s="590"/>
      <c r="K85" s="590"/>
      <c r="L85" s="590"/>
      <c r="M85" s="591">
        <f t="shared" si="24"/>
        <v>47.88</v>
      </c>
      <c r="N85" s="619">
        <f>M85*20%</f>
        <v>9.58</v>
      </c>
      <c r="O85" s="105" t="s">
        <v>309</v>
      </c>
    </row>
    <row r="86" spans="2:15" s="45" customFormat="1">
      <c r="B86" s="128">
        <f t="shared" si="28"/>
        <v>67</v>
      </c>
      <c r="C86" s="618">
        <f t="shared" si="27"/>
        <v>400</v>
      </c>
      <c r="D86" s="519">
        <v>44722</v>
      </c>
      <c r="E86" s="31" t="s">
        <v>469</v>
      </c>
      <c r="F86" s="578" t="s">
        <v>576</v>
      </c>
      <c r="G86" s="520" t="s">
        <v>457</v>
      </c>
      <c r="H86" s="24" t="s">
        <v>577</v>
      </c>
      <c r="I86" s="593"/>
      <c r="J86" s="593">
        <v>400</v>
      </c>
      <c r="K86" s="587"/>
      <c r="L86" s="587"/>
      <c r="M86" s="588">
        <f t="shared" si="24"/>
        <v>400</v>
      </c>
      <c r="N86" s="620"/>
      <c r="O86" s="70" t="s">
        <v>268</v>
      </c>
    </row>
    <row r="87" spans="2:15" s="45" customFormat="1">
      <c r="B87" s="522">
        <f t="shared" si="28"/>
        <v>68</v>
      </c>
      <c r="C87" s="617">
        <f t="shared" ref="C87:C90" si="29">SUM(M87:N87)</f>
        <v>11.99</v>
      </c>
      <c r="D87" s="523">
        <v>44722</v>
      </c>
      <c r="E87" s="527" t="s">
        <v>469</v>
      </c>
      <c r="F87" s="579" t="s">
        <v>578</v>
      </c>
      <c r="G87" s="524" t="s">
        <v>457</v>
      </c>
      <c r="H87" s="525" t="s">
        <v>492</v>
      </c>
      <c r="I87" s="590"/>
      <c r="J87" s="590">
        <v>9.99</v>
      </c>
      <c r="K87" s="590"/>
      <c r="L87" s="590"/>
      <c r="M87" s="591">
        <f t="shared" ref="M87:M88" si="30">SUM(I87:L87)</f>
        <v>9.99</v>
      </c>
      <c r="N87" s="619">
        <f>M87*20%</f>
        <v>2</v>
      </c>
      <c r="O87" s="105" t="s">
        <v>345</v>
      </c>
    </row>
    <row r="88" spans="2:15" ht="14.25" customHeight="1">
      <c r="B88" s="521">
        <f>B86+1</f>
        <v>68</v>
      </c>
      <c r="C88" s="615">
        <f t="shared" si="29"/>
        <v>1.99</v>
      </c>
      <c r="D88" s="519">
        <v>44723</v>
      </c>
      <c r="E88" s="31" t="s">
        <v>475</v>
      </c>
      <c r="F88" s="168" t="s">
        <v>460</v>
      </c>
      <c r="G88" s="520" t="s">
        <v>457</v>
      </c>
      <c r="H88" s="24" t="s">
        <v>256</v>
      </c>
      <c r="I88" s="587">
        <v>1.99</v>
      </c>
      <c r="J88" s="587"/>
      <c r="K88" s="587"/>
      <c r="L88" s="587"/>
      <c r="M88" s="588">
        <f t="shared" si="30"/>
        <v>1.99</v>
      </c>
      <c r="N88" s="620"/>
      <c r="O88" s="70" t="s">
        <v>307</v>
      </c>
    </row>
    <row r="89" spans="2:15" s="45" customFormat="1">
      <c r="B89" s="522">
        <f>B87+1</f>
        <v>69</v>
      </c>
      <c r="C89" s="617">
        <f t="shared" ref="C89:C127" si="31">SUM(M89:N89)</f>
        <v>6.99</v>
      </c>
      <c r="D89" s="523">
        <v>44726</v>
      </c>
      <c r="E89" s="527" t="s">
        <v>469</v>
      </c>
      <c r="F89" s="584" t="s">
        <v>398</v>
      </c>
      <c r="G89" s="524" t="s">
        <v>457</v>
      </c>
      <c r="H89" s="525" t="s">
        <v>492</v>
      </c>
      <c r="I89" s="590">
        <v>5.82</v>
      </c>
      <c r="J89" s="590"/>
      <c r="K89" s="590"/>
      <c r="L89" s="590"/>
      <c r="M89" s="591">
        <f t="shared" si="24"/>
        <v>5.82</v>
      </c>
      <c r="N89" s="619">
        <v>1.17</v>
      </c>
      <c r="O89" s="105" t="s">
        <v>307</v>
      </c>
    </row>
    <row r="90" spans="2:15">
      <c r="B90" s="521">
        <f t="shared" ref="B90:B93" si="32">B89+1</f>
        <v>70</v>
      </c>
      <c r="C90" s="618">
        <f t="shared" si="29"/>
        <v>107.74</v>
      </c>
      <c r="D90" s="519">
        <v>44732</v>
      </c>
      <c r="E90" s="31" t="s">
        <v>519</v>
      </c>
      <c r="F90" s="578" t="s">
        <v>465</v>
      </c>
      <c r="G90" s="520" t="s">
        <v>457</v>
      </c>
      <c r="H90" s="24" t="s">
        <v>466</v>
      </c>
      <c r="I90" s="593"/>
      <c r="J90" s="593">
        <v>102.61</v>
      </c>
      <c r="K90" s="587"/>
      <c r="L90" s="587"/>
      <c r="M90" s="588">
        <f t="shared" ref="M90" si="33">SUM(I90:L90)</f>
        <v>102.61</v>
      </c>
      <c r="N90" s="622">
        <v>5.13</v>
      </c>
      <c r="O90" s="70" t="s">
        <v>310</v>
      </c>
    </row>
    <row r="91" spans="2:15" s="45" customFormat="1">
      <c r="B91" s="177">
        <f>B90+1</f>
        <v>71</v>
      </c>
      <c r="C91" s="617">
        <f t="shared" si="31"/>
        <v>13.7</v>
      </c>
      <c r="D91" s="523">
        <v>44733</v>
      </c>
      <c r="E91" s="525" t="s">
        <v>254</v>
      </c>
      <c r="F91" s="579" t="s">
        <v>579</v>
      </c>
      <c r="G91" s="524" t="s">
        <v>457</v>
      </c>
      <c r="H91" s="525" t="s">
        <v>580</v>
      </c>
      <c r="I91" s="599"/>
      <c r="J91" s="590">
        <f>13.7/120%</f>
        <v>11.42</v>
      </c>
      <c r="K91" s="590"/>
      <c r="L91" s="590"/>
      <c r="M91" s="591">
        <f t="shared" si="24"/>
        <v>11.42</v>
      </c>
      <c r="N91" s="619">
        <f>M91*20%</f>
        <v>2.2799999999999998</v>
      </c>
      <c r="O91" s="105" t="s">
        <v>388</v>
      </c>
    </row>
    <row r="92" spans="2:15" s="45" customFormat="1">
      <c r="B92" s="521">
        <f t="shared" si="32"/>
        <v>72</v>
      </c>
      <c r="C92" s="618">
        <f t="shared" si="31"/>
        <v>612.54</v>
      </c>
      <c r="D92" s="519">
        <v>44742</v>
      </c>
      <c r="E92" s="31" t="s">
        <v>507</v>
      </c>
      <c r="F92" s="140" t="s">
        <v>508</v>
      </c>
      <c r="G92" s="520" t="s">
        <v>457</v>
      </c>
      <c r="H92" s="24" t="s">
        <v>509</v>
      </c>
      <c r="I92" s="593">
        <v>612.54</v>
      </c>
      <c r="J92" s="593"/>
      <c r="K92" s="587"/>
      <c r="L92" s="587"/>
      <c r="M92" s="588">
        <f t="shared" si="24"/>
        <v>612.54</v>
      </c>
      <c r="N92" s="620"/>
      <c r="O92" s="70" t="s">
        <v>306</v>
      </c>
    </row>
    <row r="93" spans="2:15" s="45" customFormat="1">
      <c r="B93" s="177">
        <f t="shared" si="32"/>
        <v>73</v>
      </c>
      <c r="C93" s="617">
        <f t="shared" si="31"/>
        <v>18</v>
      </c>
      <c r="D93" s="523">
        <v>44742</v>
      </c>
      <c r="E93" s="527" t="s">
        <v>475</v>
      </c>
      <c r="F93" s="139" t="s">
        <v>582</v>
      </c>
      <c r="G93" s="524" t="s">
        <v>457</v>
      </c>
      <c r="H93" s="525" t="s">
        <v>581</v>
      </c>
      <c r="I93" s="589">
        <v>18</v>
      </c>
      <c r="J93" s="589"/>
      <c r="K93" s="590"/>
      <c r="L93" s="590"/>
      <c r="M93" s="591">
        <f t="shared" si="24"/>
        <v>18</v>
      </c>
      <c r="N93" s="619"/>
      <c r="O93" s="105" t="s">
        <v>307</v>
      </c>
    </row>
    <row r="94" spans="2:15">
      <c r="B94" s="732">
        <f>B93+1</f>
        <v>74</v>
      </c>
      <c r="C94" s="734">
        <f>M94+M95+N94+N95</f>
        <v>103.44</v>
      </c>
      <c r="D94" s="735">
        <v>44750</v>
      </c>
      <c r="E94" s="736" t="s">
        <v>519</v>
      </c>
      <c r="F94" s="363" t="s">
        <v>520</v>
      </c>
      <c r="G94" s="733" t="s">
        <v>457</v>
      </c>
      <c r="H94" s="737" t="s">
        <v>650</v>
      </c>
      <c r="I94" s="593">
        <v>53.39</v>
      </c>
      <c r="J94" s="598"/>
      <c r="K94" s="593"/>
      <c r="L94" s="587"/>
      <c r="M94" s="588">
        <f t="shared" ref="M94:M95" si="34">SUM(I94:L94)</f>
        <v>53.39</v>
      </c>
      <c r="N94" s="620"/>
      <c r="O94" s="364" t="s">
        <v>306</v>
      </c>
    </row>
    <row r="95" spans="2:15">
      <c r="B95" s="732"/>
      <c r="C95" s="734"/>
      <c r="D95" s="735"/>
      <c r="E95" s="736"/>
      <c r="F95" s="365" t="s">
        <v>520</v>
      </c>
      <c r="G95" s="733"/>
      <c r="H95" s="737"/>
      <c r="I95" s="593">
        <v>50.05</v>
      </c>
      <c r="J95" s="598"/>
      <c r="K95" s="593"/>
      <c r="L95" s="587"/>
      <c r="M95" s="588">
        <f t="shared" si="34"/>
        <v>50.05</v>
      </c>
      <c r="N95" s="620"/>
      <c r="O95" s="364" t="s">
        <v>521</v>
      </c>
    </row>
    <row r="96" spans="2:15" ht="14.25" customHeight="1">
      <c r="B96" s="177">
        <f>B94+1</f>
        <v>75</v>
      </c>
      <c r="C96" s="617">
        <f t="shared" ref="C96:C101" si="35">SUM(M96:N96)</f>
        <v>111.21</v>
      </c>
      <c r="D96" s="523">
        <v>44762</v>
      </c>
      <c r="E96" s="527" t="s">
        <v>519</v>
      </c>
      <c r="F96" s="579" t="s">
        <v>465</v>
      </c>
      <c r="G96" s="524" t="s">
        <v>457</v>
      </c>
      <c r="H96" s="525" t="s">
        <v>466</v>
      </c>
      <c r="I96" s="590"/>
      <c r="J96" s="590">
        <v>105.92</v>
      </c>
      <c r="K96" s="590"/>
      <c r="L96" s="590"/>
      <c r="M96" s="591">
        <f t="shared" ref="M96:M99" si="36">SUM(I96:L96)</f>
        <v>105.92</v>
      </c>
      <c r="N96" s="619">
        <v>5.29</v>
      </c>
      <c r="O96" s="105" t="s">
        <v>310</v>
      </c>
    </row>
    <row r="97" spans="2:15" s="45" customFormat="1">
      <c r="B97" s="128">
        <f t="shared" ref="B97:B98" si="37">B96+1</f>
        <v>76</v>
      </c>
      <c r="C97" s="618">
        <f t="shared" si="35"/>
        <v>1.99</v>
      </c>
      <c r="D97" s="519">
        <v>44767</v>
      </c>
      <c r="E97" s="31" t="s">
        <v>475</v>
      </c>
      <c r="F97" s="140" t="s">
        <v>582</v>
      </c>
      <c r="G97" s="520" t="s">
        <v>457</v>
      </c>
      <c r="H97" s="24" t="s">
        <v>256</v>
      </c>
      <c r="I97" s="593">
        <v>1.99</v>
      </c>
      <c r="J97" s="593"/>
      <c r="K97" s="587"/>
      <c r="L97" s="587"/>
      <c r="M97" s="588">
        <f t="shared" si="36"/>
        <v>1.99</v>
      </c>
      <c r="N97" s="620"/>
      <c r="O97" s="70" t="s">
        <v>307</v>
      </c>
    </row>
    <row r="98" spans="2:15" s="45" customFormat="1">
      <c r="B98" s="177">
        <f t="shared" si="37"/>
        <v>77</v>
      </c>
      <c r="C98" s="617">
        <f t="shared" ref="C98" si="38">SUM(M98:N98)</f>
        <v>10</v>
      </c>
      <c r="D98" s="523">
        <v>44767</v>
      </c>
      <c r="E98" s="527" t="s">
        <v>254</v>
      </c>
      <c r="F98" s="577" t="s">
        <v>619</v>
      </c>
      <c r="G98" s="524" t="s">
        <v>457</v>
      </c>
      <c r="H98" s="525" t="s">
        <v>256</v>
      </c>
      <c r="I98" s="589">
        <v>10</v>
      </c>
      <c r="J98" s="589"/>
      <c r="K98" s="590"/>
      <c r="L98" s="590"/>
      <c r="M98" s="591">
        <f t="shared" ref="M98" si="39">SUM(I98:L98)</f>
        <v>10</v>
      </c>
      <c r="N98" s="619"/>
      <c r="O98" s="105" t="s">
        <v>309</v>
      </c>
    </row>
    <row r="99" spans="2:15" s="45" customFormat="1">
      <c r="B99" s="521">
        <f>B97+1</f>
        <v>77</v>
      </c>
      <c r="C99" s="618">
        <v>614.03</v>
      </c>
      <c r="D99" s="519">
        <v>44774</v>
      </c>
      <c r="E99" s="31" t="s">
        <v>507</v>
      </c>
      <c r="F99" s="140" t="s">
        <v>508</v>
      </c>
      <c r="G99" s="520" t="s">
        <v>457</v>
      </c>
      <c r="H99" s="24" t="s">
        <v>509</v>
      </c>
      <c r="I99" s="593">
        <v>614.03</v>
      </c>
      <c r="J99" s="593"/>
      <c r="K99" s="587"/>
      <c r="L99" s="587"/>
      <c r="M99" s="588">
        <f t="shared" si="36"/>
        <v>614.03</v>
      </c>
      <c r="N99" s="620"/>
      <c r="O99" s="70" t="s">
        <v>306</v>
      </c>
    </row>
    <row r="100" spans="2:15" s="45" customFormat="1" ht="15.75" customHeight="1">
      <c r="B100" s="522">
        <f t="shared" ref="B100:B101" si="40">B99+1</f>
        <v>78</v>
      </c>
      <c r="C100" s="617">
        <f t="shared" si="31"/>
        <v>539.28</v>
      </c>
      <c r="D100" s="523">
        <v>44774</v>
      </c>
      <c r="E100" s="527" t="s">
        <v>469</v>
      </c>
      <c r="F100" s="161" t="s">
        <v>476</v>
      </c>
      <c r="G100" s="524" t="s">
        <v>457</v>
      </c>
      <c r="H100" s="525" t="s">
        <v>477</v>
      </c>
      <c r="I100" s="590">
        <v>539.28</v>
      </c>
      <c r="J100" s="590"/>
      <c r="K100" s="590"/>
      <c r="L100" s="590"/>
      <c r="M100" s="591">
        <f t="shared" si="24"/>
        <v>539.28</v>
      </c>
      <c r="N100" s="619"/>
      <c r="O100" s="105" t="s">
        <v>306</v>
      </c>
    </row>
    <row r="101" spans="2:15">
      <c r="B101" s="521">
        <f t="shared" si="40"/>
        <v>79</v>
      </c>
      <c r="C101" s="618">
        <f t="shared" si="35"/>
        <v>156</v>
      </c>
      <c r="D101" s="519">
        <v>44774</v>
      </c>
      <c r="E101" s="31" t="s">
        <v>469</v>
      </c>
      <c r="F101" s="578" t="s">
        <v>583</v>
      </c>
      <c r="G101" s="520" t="s">
        <v>457</v>
      </c>
      <c r="H101" s="24" t="s">
        <v>584</v>
      </c>
      <c r="I101" s="593">
        <v>130</v>
      </c>
      <c r="J101" s="593"/>
      <c r="K101" s="587"/>
      <c r="L101" s="587"/>
      <c r="M101" s="588">
        <f t="shared" ref="M101" si="41">SUM(I101:L101)</f>
        <v>130</v>
      </c>
      <c r="N101" s="622">
        <f>M101*20%</f>
        <v>26</v>
      </c>
      <c r="O101" s="70" t="s">
        <v>308</v>
      </c>
    </row>
    <row r="102" spans="2:15" s="45" customFormat="1" ht="15" customHeight="1">
      <c r="B102" s="729">
        <f>B100+1</f>
        <v>79</v>
      </c>
      <c r="C102" s="739">
        <f>M102+M103+N102+N103</f>
        <v>741.51</v>
      </c>
      <c r="D102" s="740">
        <v>44774</v>
      </c>
      <c r="E102" s="746" t="s">
        <v>469</v>
      </c>
      <c r="F102" s="577" t="s">
        <v>586</v>
      </c>
      <c r="G102" s="743" t="s">
        <v>457</v>
      </c>
      <c r="H102" s="744" t="s">
        <v>585</v>
      </c>
      <c r="I102" s="589">
        <v>397.51</v>
      </c>
      <c r="J102" s="589"/>
      <c r="K102" s="590"/>
      <c r="L102" s="590"/>
      <c r="M102" s="591">
        <f t="shared" si="24"/>
        <v>397.51</v>
      </c>
      <c r="N102" s="745">
        <v>59</v>
      </c>
      <c r="O102" s="105" t="s">
        <v>324</v>
      </c>
    </row>
    <row r="103" spans="2:15" s="45" customFormat="1" ht="15" customHeight="1">
      <c r="B103" s="729"/>
      <c r="C103" s="739"/>
      <c r="D103" s="740"/>
      <c r="E103" s="746"/>
      <c r="F103" s="577" t="s">
        <v>2</v>
      </c>
      <c r="G103" s="743"/>
      <c r="H103" s="744"/>
      <c r="I103" s="589">
        <v>285</v>
      </c>
      <c r="J103" s="589"/>
      <c r="K103" s="590"/>
      <c r="L103" s="590"/>
      <c r="M103" s="591">
        <f t="shared" si="24"/>
        <v>285</v>
      </c>
      <c r="N103" s="745"/>
      <c r="O103" s="105" t="s">
        <v>316</v>
      </c>
    </row>
    <row r="104" spans="2:15" s="45" customFormat="1">
      <c r="B104" s="128">
        <f>B102+1</f>
        <v>80</v>
      </c>
      <c r="C104" s="618">
        <f t="shared" ref="C104:C118" si="42">SUM(M104:N104)</f>
        <v>79.56</v>
      </c>
      <c r="D104" s="519">
        <v>44774</v>
      </c>
      <c r="E104" s="31" t="s">
        <v>469</v>
      </c>
      <c r="F104" s="578" t="s">
        <v>587</v>
      </c>
      <c r="G104" s="520" t="s">
        <v>457</v>
      </c>
      <c r="H104" s="24" t="s">
        <v>588</v>
      </c>
      <c r="I104" s="593">
        <v>79.56</v>
      </c>
      <c r="J104" s="593"/>
      <c r="K104" s="587"/>
      <c r="L104" s="587"/>
      <c r="M104" s="588">
        <f t="shared" ref="M104:M121" si="43">SUM(I104:L104)</f>
        <v>79.56</v>
      </c>
      <c r="N104" s="620"/>
      <c r="O104" s="70" t="s">
        <v>308</v>
      </c>
    </row>
    <row r="105" spans="2:15" s="45" customFormat="1">
      <c r="B105" s="177">
        <f t="shared" ref="B105:B110" si="44">B104+1</f>
        <v>81</v>
      </c>
      <c r="C105" s="617">
        <f t="shared" si="42"/>
        <v>200</v>
      </c>
      <c r="D105" s="523">
        <v>44774</v>
      </c>
      <c r="E105" s="527" t="s">
        <v>469</v>
      </c>
      <c r="F105" s="579" t="s">
        <v>589</v>
      </c>
      <c r="G105" s="524" t="s">
        <v>457</v>
      </c>
      <c r="H105" s="525" t="s">
        <v>590</v>
      </c>
      <c r="I105" s="590"/>
      <c r="J105" s="590">
        <v>200</v>
      </c>
      <c r="K105" s="590"/>
      <c r="L105" s="590"/>
      <c r="M105" s="591">
        <f t="shared" si="43"/>
        <v>200</v>
      </c>
      <c r="N105" s="619"/>
      <c r="O105" s="105" t="s">
        <v>345</v>
      </c>
    </row>
    <row r="106" spans="2:15" s="45" customFormat="1">
      <c r="B106" s="128">
        <f t="shared" si="44"/>
        <v>82</v>
      </c>
      <c r="C106" s="618">
        <f t="shared" si="42"/>
        <v>470</v>
      </c>
      <c r="D106" s="519">
        <v>44774</v>
      </c>
      <c r="E106" s="31" t="s">
        <v>469</v>
      </c>
      <c r="F106" s="578" t="s">
        <v>591</v>
      </c>
      <c r="G106" s="520" t="s">
        <v>457</v>
      </c>
      <c r="H106" s="24" t="s">
        <v>530</v>
      </c>
      <c r="I106" s="593"/>
      <c r="J106" s="593">
        <v>470</v>
      </c>
      <c r="K106" s="587"/>
      <c r="L106" s="587"/>
      <c r="M106" s="588">
        <f t="shared" si="43"/>
        <v>470</v>
      </c>
      <c r="N106" s="620"/>
      <c r="O106" s="70" t="s">
        <v>312</v>
      </c>
    </row>
    <row r="107" spans="2:15" s="45" customFormat="1">
      <c r="B107" s="177">
        <f t="shared" si="44"/>
        <v>83</v>
      </c>
      <c r="C107" s="617">
        <f t="shared" si="42"/>
        <v>28.12</v>
      </c>
      <c r="D107" s="523">
        <v>44774</v>
      </c>
      <c r="E107" s="527" t="s">
        <v>469</v>
      </c>
      <c r="F107" s="585" t="s">
        <v>592</v>
      </c>
      <c r="G107" s="524" t="s">
        <v>457</v>
      </c>
      <c r="H107" s="525" t="s">
        <v>593</v>
      </c>
      <c r="I107" s="590">
        <f>37.5-16.88</f>
        <v>20.62</v>
      </c>
      <c r="J107" s="590"/>
      <c r="K107" s="590"/>
      <c r="L107" s="590"/>
      <c r="M107" s="591">
        <f t="shared" si="43"/>
        <v>20.62</v>
      </c>
      <c r="N107" s="619">
        <v>7.5</v>
      </c>
      <c r="O107" s="105" t="s">
        <v>308</v>
      </c>
    </row>
    <row r="108" spans="2:15">
      <c r="B108" s="128">
        <f t="shared" si="44"/>
        <v>84</v>
      </c>
      <c r="C108" s="618">
        <f t="shared" si="42"/>
        <v>500</v>
      </c>
      <c r="D108" s="519">
        <v>44774</v>
      </c>
      <c r="E108" s="31" t="s">
        <v>469</v>
      </c>
      <c r="F108" s="573" t="s">
        <v>594</v>
      </c>
      <c r="G108" s="520" t="s">
        <v>457</v>
      </c>
      <c r="H108" s="24" t="s">
        <v>595</v>
      </c>
      <c r="I108" s="593">
        <v>500</v>
      </c>
      <c r="J108" s="593"/>
      <c r="K108" s="587"/>
      <c r="L108" s="587"/>
      <c r="M108" s="588">
        <f t="shared" si="43"/>
        <v>500</v>
      </c>
      <c r="N108" s="620"/>
      <c r="O108" s="70" t="s">
        <v>345</v>
      </c>
    </row>
    <row r="109" spans="2:15" s="45" customFormat="1" ht="15.75" customHeight="1">
      <c r="B109" s="177">
        <f t="shared" si="44"/>
        <v>85</v>
      </c>
      <c r="C109" s="617">
        <f t="shared" si="42"/>
        <v>456.32</v>
      </c>
      <c r="D109" s="523">
        <v>44778</v>
      </c>
      <c r="E109" s="527" t="s">
        <v>469</v>
      </c>
      <c r="F109" s="579" t="s">
        <v>597</v>
      </c>
      <c r="G109" s="524" t="s">
        <v>457</v>
      </c>
      <c r="H109" s="525" t="s">
        <v>598</v>
      </c>
      <c r="I109" s="590"/>
      <c r="J109" s="590">
        <v>413.6</v>
      </c>
      <c r="K109" s="590"/>
      <c r="L109" s="590"/>
      <c r="M109" s="591">
        <f t="shared" si="43"/>
        <v>413.6</v>
      </c>
      <c r="N109" s="619">
        <v>42.72</v>
      </c>
      <c r="O109" s="105" t="s">
        <v>312</v>
      </c>
    </row>
    <row r="110" spans="2:15" s="45" customFormat="1" ht="15.75" customHeight="1">
      <c r="B110" s="128">
        <f t="shared" si="44"/>
        <v>86</v>
      </c>
      <c r="C110" s="618">
        <f t="shared" ref="C110" si="45">SUM(M110:N110)</f>
        <v>5.38</v>
      </c>
      <c r="D110" s="519">
        <v>44778</v>
      </c>
      <c r="E110" s="31" t="s">
        <v>254</v>
      </c>
      <c r="F110" s="575" t="s">
        <v>621</v>
      </c>
      <c r="G110" s="520" t="s">
        <v>457</v>
      </c>
      <c r="H110" s="24" t="s">
        <v>622</v>
      </c>
      <c r="I110" s="587"/>
      <c r="J110" s="587">
        <v>5.38</v>
      </c>
      <c r="K110" s="587"/>
      <c r="L110" s="587"/>
      <c r="M110" s="588">
        <f t="shared" si="43"/>
        <v>5.38</v>
      </c>
      <c r="N110" s="620"/>
      <c r="O110" s="70" t="s">
        <v>317</v>
      </c>
    </row>
    <row r="111" spans="2:15">
      <c r="B111" s="729">
        <f>B109+1</f>
        <v>86</v>
      </c>
      <c r="C111" s="739">
        <f>M111+M112+N111+N112</f>
        <v>103.44</v>
      </c>
      <c r="D111" s="740">
        <v>44782</v>
      </c>
      <c r="E111" s="741" t="s">
        <v>519</v>
      </c>
      <c r="F111" s="178" t="s">
        <v>520</v>
      </c>
      <c r="G111" s="743" t="s">
        <v>457</v>
      </c>
      <c r="H111" s="744" t="s">
        <v>651</v>
      </c>
      <c r="I111" s="589">
        <v>53.39</v>
      </c>
      <c r="J111" s="592"/>
      <c r="K111" s="589"/>
      <c r="L111" s="590"/>
      <c r="M111" s="591">
        <f t="shared" ref="M111:M112" si="46">SUM(I111:L111)</f>
        <v>53.39</v>
      </c>
      <c r="N111" s="619"/>
      <c r="O111" s="179" t="s">
        <v>306</v>
      </c>
    </row>
    <row r="112" spans="2:15">
      <c r="B112" s="729"/>
      <c r="C112" s="739"/>
      <c r="D112" s="740"/>
      <c r="E112" s="741"/>
      <c r="F112" s="604" t="s">
        <v>520</v>
      </c>
      <c r="G112" s="743"/>
      <c r="H112" s="744"/>
      <c r="I112" s="589">
        <v>50.05</v>
      </c>
      <c r="J112" s="592"/>
      <c r="K112" s="589"/>
      <c r="L112" s="590"/>
      <c r="M112" s="591">
        <f t="shared" si="46"/>
        <v>50.05</v>
      </c>
      <c r="N112" s="619"/>
      <c r="O112" s="179" t="s">
        <v>521</v>
      </c>
    </row>
    <row r="113" spans="2:15" s="45" customFormat="1">
      <c r="B113" s="128">
        <f>B111+1</f>
        <v>87</v>
      </c>
      <c r="C113" s="618">
        <f t="shared" si="42"/>
        <v>-177.56</v>
      </c>
      <c r="D113" s="519">
        <v>44785</v>
      </c>
      <c r="E113" s="31" t="s">
        <v>599</v>
      </c>
      <c r="F113" s="168" t="s">
        <v>623</v>
      </c>
      <c r="G113" s="520" t="s">
        <v>457</v>
      </c>
      <c r="H113" s="24" t="s">
        <v>600</v>
      </c>
      <c r="I113" s="587"/>
      <c r="J113" s="609">
        <v>-177.56</v>
      </c>
      <c r="K113" s="587"/>
      <c r="L113" s="587"/>
      <c r="M113" s="609">
        <f t="shared" si="43"/>
        <v>-177.56</v>
      </c>
      <c r="N113" s="620"/>
      <c r="O113" s="70" t="s">
        <v>312</v>
      </c>
    </row>
    <row r="114" spans="2:15" s="45" customFormat="1">
      <c r="B114" s="177">
        <f>B113+1</f>
        <v>88</v>
      </c>
      <c r="C114" s="617">
        <f t="shared" si="42"/>
        <v>114.69</v>
      </c>
      <c r="D114" s="523">
        <v>44792</v>
      </c>
      <c r="E114" s="527" t="s">
        <v>519</v>
      </c>
      <c r="F114" s="577" t="s">
        <v>465</v>
      </c>
      <c r="G114" s="524" t="s">
        <v>457</v>
      </c>
      <c r="H114" s="525" t="s">
        <v>466</v>
      </c>
      <c r="I114" s="589"/>
      <c r="J114" s="589">
        <v>109.24</v>
      </c>
      <c r="K114" s="590"/>
      <c r="L114" s="590"/>
      <c r="M114" s="591">
        <f t="shared" si="43"/>
        <v>109.24</v>
      </c>
      <c r="N114" s="619">
        <v>5.45</v>
      </c>
      <c r="O114" s="105" t="s">
        <v>310</v>
      </c>
    </row>
    <row r="115" spans="2:15" s="45" customFormat="1">
      <c r="B115" s="128">
        <f>B114+1</f>
        <v>89</v>
      </c>
      <c r="C115" s="618">
        <f t="shared" si="42"/>
        <v>360</v>
      </c>
      <c r="D115" s="519">
        <v>44792</v>
      </c>
      <c r="E115" s="31" t="s">
        <v>469</v>
      </c>
      <c r="F115" s="575" t="s">
        <v>620</v>
      </c>
      <c r="G115" s="520" t="s">
        <v>457</v>
      </c>
      <c r="H115" s="24" t="s">
        <v>601</v>
      </c>
      <c r="I115" s="587">
        <v>300</v>
      </c>
      <c r="J115" s="587"/>
      <c r="K115" s="587"/>
      <c r="L115" s="587"/>
      <c r="M115" s="588">
        <f t="shared" si="43"/>
        <v>300</v>
      </c>
      <c r="N115" s="620">
        <f>M115*20%</f>
        <v>60</v>
      </c>
      <c r="O115" s="70" t="s">
        <v>316</v>
      </c>
    </row>
    <row r="116" spans="2:15" s="45" customFormat="1">
      <c r="B116" s="177">
        <f t="shared" ref="B116" si="47">B115+1</f>
        <v>90</v>
      </c>
      <c r="C116" s="617">
        <f t="shared" si="42"/>
        <v>360</v>
      </c>
      <c r="D116" s="523">
        <v>44792</v>
      </c>
      <c r="E116" s="527" t="s">
        <v>469</v>
      </c>
      <c r="F116" s="579" t="s">
        <v>591</v>
      </c>
      <c r="G116" s="524" t="s">
        <v>457</v>
      </c>
      <c r="H116" s="525" t="s">
        <v>530</v>
      </c>
      <c r="I116" s="589"/>
      <c r="J116" s="589">
        <v>360</v>
      </c>
      <c r="K116" s="590"/>
      <c r="L116" s="590"/>
      <c r="M116" s="591">
        <f t="shared" ref="M116" si="48">SUM(I116:L116)</f>
        <v>360</v>
      </c>
      <c r="N116" s="619"/>
      <c r="O116" s="105" t="s">
        <v>312</v>
      </c>
    </row>
    <row r="117" spans="2:15">
      <c r="B117" s="128">
        <f>B116+1</f>
        <v>91</v>
      </c>
      <c r="C117" s="618">
        <f t="shared" si="42"/>
        <v>142.80000000000001</v>
      </c>
      <c r="D117" s="519">
        <v>44792</v>
      </c>
      <c r="E117" s="24" t="s">
        <v>469</v>
      </c>
      <c r="F117" s="168" t="s">
        <v>602</v>
      </c>
      <c r="G117" s="520" t="s">
        <v>457</v>
      </c>
      <c r="H117" s="24" t="s">
        <v>603</v>
      </c>
      <c r="I117" s="602"/>
      <c r="J117" s="587">
        <v>119</v>
      </c>
      <c r="K117" s="587"/>
      <c r="L117" s="587"/>
      <c r="M117" s="588">
        <f t="shared" si="43"/>
        <v>119</v>
      </c>
      <c r="N117" s="620">
        <f>M117*20%</f>
        <v>23.8</v>
      </c>
      <c r="O117" s="70" t="s">
        <v>311</v>
      </c>
    </row>
    <row r="118" spans="2:15">
      <c r="B118" s="177">
        <f t="shared" ref="B118" si="49">B117+1</f>
        <v>92</v>
      </c>
      <c r="C118" s="617">
        <f t="shared" si="42"/>
        <v>7800</v>
      </c>
      <c r="D118" s="523">
        <v>44792</v>
      </c>
      <c r="E118" s="527" t="s">
        <v>469</v>
      </c>
      <c r="F118" s="579" t="s">
        <v>604</v>
      </c>
      <c r="G118" s="524" t="s">
        <v>457</v>
      </c>
      <c r="H118" s="525" t="s">
        <v>605</v>
      </c>
      <c r="I118" s="590"/>
      <c r="J118" s="590">
        <v>6500</v>
      </c>
      <c r="K118" s="590"/>
      <c r="L118" s="590"/>
      <c r="M118" s="591">
        <f t="shared" si="43"/>
        <v>6500</v>
      </c>
      <c r="N118" s="619">
        <f>M118*20%</f>
        <v>1300</v>
      </c>
      <c r="O118" s="105" t="s">
        <v>311</v>
      </c>
    </row>
    <row r="119" spans="2:15">
      <c r="B119" s="732">
        <f>B118+1</f>
        <v>93</v>
      </c>
      <c r="C119" s="734">
        <f>M119+M120+N119+N120</f>
        <v>185</v>
      </c>
      <c r="D119" s="735">
        <v>44792</v>
      </c>
      <c r="E119" s="738" t="s">
        <v>469</v>
      </c>
      <c r="F119" s="578" t="s">
        <v>606</v>
      </c>
      <c r="G119" s="733" t="s">
        <v>457</v>
      </c>
      <c r="H119" s="737" t="s">
        <v>492</v>
      </c>
      <c r="I119" s="593"/>
      <c r="J119" s="593">
        <v>72.489999999999995</v>
      </c>
      <c r="K119" s="587"/>
      <c r="L119" s="587"/>
      <c r="M119" s="588">
        <f t="shared" si="43"/>
        <v>72.489999999999995</v>
      </c>
      <c r="N119" s="620">
        <f>M119*20%</f>
        <v>14.5</v>
      </c>
      <c r="O119" s="70" t="s">
        <v>311</v>
      </c>
    </row>
    <row r="120" spans="2:15" s="45" customFormat="1">
      <c r="B120" s="732"/>
      <c r="C120" s="734"/>
      <c r="D120" s="735"/>
      <c r="E120" s="738"/>
      <c r="F120" s="578" t="s">
        <v>607</v>
      </c>
      <c r="G120" s="733"/>
      <c r="H120" s="737"/>
      <c r="I120" s="593"/>
      <c r="J120" s="593">
        <v>81.67</v>
      </c>
      <c r="K120" s="587"/>
      <c r="L120" s="587"/>
      <c r="M120" s="588">
        <f t="shared" si="43"/>
        <v>81.67</v>
      </c>
      <c r="N120" s="620">
        <v>16.34</v>
      </c>
      <c r="O120" s="70" t="s">
        <v>311</v>
      </c>
    </row>
    <row r="121" spans="2:15" s="45" customFormat="1">
      <c r="B121" s="177">
        <f>B119+1</f>
        <v>94</v>
      </c>
      <c r="C121" s="617">
        <v>614.03</v>
      </c>
      <c r="D121" s="523">
        <v>44804</v>
      </c>
      <c r="E121" s="527" t="s">
        <v>507</v>
      </c>
      <c r="F121" s="139" t="s">
        <v>508</v>
      </c>
      <c r="G121" s="524" t="s">
        <v>457</v>
      </c>
      <c r="H121" s="525" t="s">
        <v>509</v>
      </c>
      <c r="I121" s="589">
        <v>614.03</v>
      </c>
      <c r="J121" s="589"/>
      <c r="K121" s="590"/>
      <c r="L121" s="590"/>
      <c r="M121" s="591">
        <f t="shared" si="43"/>
        <v>614.03</v>
      </c>
      <c r="N121" s="619"/>
      <c r="O121" s="105" t="s">
        <v>306</v>
      </c>
    </row>
    <row r="122" spans="2:15">
      <c r="B122" s="732">
        <f>B121+1</f>
        <v>95</v>
      </c>
      <c r="C122" s="734">
        <f>M122+M123+N122+N123</f>
        <v>103.44</v>
      </c>
      <c r="D122" s="735">
        <v>44813</v>
      </c>
      <c r="E122" s="736" t="s">
        <v>519</v>
      </c>
      <c r="F122" s="363" t="s">
        <v>520</v>
      </c>
      <c r="G122" s="733" t="s">
        <v>457</v>
      </c>
      <c r="H122" s="737" t="s">
        <v>652</v>
      </c>
      <c r="I122" s="593">
        <v>53.39</v>
      </c>
      <c r="J122" s="598"/>
      <c r="K122" s="593"/>
      <c r="L122" s="587"/>
      <c r="M122" s="588">
        <f t="shared" ref="M122:M123" si="50">SUM(I122:L122)</f>
        <v>53.39</v>
      </c>
      <c r="N122" s="620"/>
      <c r="O122" s="364" t="s">
        <v>306</v>
      </c>
    </row>
    <row r="123" spans="2:15">
      <c r="B123" s="732"/>
      <c r="C123" s="734"/>
      <c r="D123" s="735"/>
      <c r="E123" s="736"/>
      <c r="F123" s="365" t="s">
        <v>520</v>
      </c>
      <c r="G123" s="733"/>
      <c r="H123" s="737"/>
      <c r="I123" s="593">
        <v>50.05</v>
      </c>
      <c r="J123" s="598"/>
      <c r="K123" s="593"/>
      <c r="L123" s="587"/>
      <c r="M123" s="588">
        <f t="shared" si="50"/>
        <v>50.05</v>
      </c>
      <c r="N123" s="620"/>
      <c r="O123" s="364" t="s">
        <v>521</v>
      </c>
    </row>
    <row r="124" spans="2:15" s="45" customFormat="1">
      <c r="B124" s="177">
        <f>B122+1</f>
        <v>96</v>
      </c>
      <c r="C124" s="617">
        <f t="shared" ref="C124:C128" si="51">SUM(M124:N124)</f>
        <v>0.96</v>
      </c>
      <c r="D124" s="523">
        <v>44815</v>
      </c>
      <c r="E124" s="527" t="s">
        <v>475</v>
      </c>
      <c r="F124" s="139" t="s">
        <v>582</v>
      </c>
      <c r="G124" s="524" t="s">
        <v>457</v>
      </c>
      <c r="H124" s="525" t="s">
        <v>256</v>
      </c>
      <c r="I124" s="589">
        <v>0.96</v>
      </c>
      <c r="J124" s="589"/>
      <c r="K124" s="590"/>
      <c r="L124" s="590"/>
      <c r="M124" s="591">
        <f t="shared" ref="M124" si="52">SUM(I124:L124)</f>
        <v>0.96</v>
      </c>
      <c r="N124" s="619"/>
      <c r="O124" s="105" t="s">
        <v>307</v>
      </c>
    </row>
    <row r="125" spans="2:15" s="45" customFormat="1">
      <c r="B125" s="128">
        <f>B124+1</f>
        <v>97</v>
      </c>
      <c r="C125" s="618">
        <f t="shared" ref="C125" si="53">SUM(M125:N125)</f>
        <v>114.69</v>
      </c>
      <c r="D125" s="519">
        <v>44824</v>
      </c>
      <c r="E125" s="31" t="s">
        <v>519</v>
      </c>
      <c r="F125" s="578" t="s">
        <v>465</v>
      </c>
      <c r="G125" s="520" t="s">
        <v>457</v>
      </c>
      <c r="H125" s="24" t="s">
        <v>466</v>
      </c>
      <c r="I125" s="593"/>
      <c r="J125" s="593">
        <v>109.24</v>
      </c>
      <c r="K125" s="587"/>
      <c r="L125" s="587"/>
      <c r="M125" s="588">
        <f t="shared" ref="M125:M126" si="54">SUM(I125:L125)</f>
        <v>109.24</v>
      </c>
      <c r="N125" s="620">
        <v>5.45</v>
      </c>
      <c r="O125" s="70" t="s">
        <v>310</v>
      </c>
    </row>
    <row r="126" spans="2:15" s="45" customFormat="1">
      <c r="B126" s="177">
        <f>B125+1</f>
        <v>98</v>
      </c>
      <c r="C126" s="617">
        <f t="shared" si="51"/>
        <v>614.03</v>
      </c>
      <c r="D126" s="523">
        <v>44834</v>
      </c>
      <c r="E126" s="527" t="s">
        <v>507</v>
      </c>
      <c r="F126" s="139" t="s">
        <v>508</v>
      </c>
      <c r="G126" s="524" t="s">
        <v>457</v>
      </c>
      <c r="H126" s="525" t="s">
        <v>509</v>
      </c>
      <c r="I126" s="589">
        <v>614.03</v>
      </c>
      <c r="J126" s="589"/>
      <c r="K126" s="590"/>
      <c r="L126" s="590"/>
      <c r="M126" s="591">
        <f t="shared" si="54"/>
        <v>614.03</v>
      </c>
      <c r="N126" s="619"/>
      <c r="O126" s="105" t="s">
        <v>306</v>
      </c>
    </row>
    <row r="127" spans="2:15" s="45" customFormat="1">
      <c r="B127" s="128">
        <f>B126+1</f>
        <v>99</v>
      </c>
      <c r="C127" s="618">
        <f t="shared" si="31"/>
        <v>18</v>
      </c>
      <c r="D127" s="519">
        <v>44834</v>
      </c>
      <c r="E127" s="24" t="s">
        <v>475</v>
      </c>
      <c r="F127" s="168" t="s">
        <v>582</v>
      </c>
      <c r="G127" s="520" t="s">
        <v>457</v>
      </c>
      <c r="H127" s="24" t="s">
        <v>581</v>
      </c>
      <c r="I127" s="602">
        <v>18</v>
      </c>
      <c r="J127" s="587"/>
      <c r="K127" s="587"/>
      <c r="L127" s="587"/>
      <c r="M127" s="588">
        <f t="shared" si="24"/>
        <v>18</v>
      </c>
      <c r="N127" s="620"/>
      <c r="O127" s="70" t="s">
        <v>307</v>
      </c>
    </row>
    <row r="128" spans="2:15" s="45" customFormat="1">
      <c r="B128" s="177">
        <f>B127+1</f>
        <v>100</v>
      </c>
      <c r="C128" s="617">
        <f t="shared" si="51"/>
        <v>1.99</v>
      </c>
      <c r="D128" s="523">
        <f>'PockIt-Petty Cash'!B45</f>
        <v>44838</v>
      </c>
      <c r="E128" s="527" t="s">
        <v>475</v>
      </c>
      <c r="F128" s="139" t="s">
        <v>582</v>
      </c>
      <c r="G128" s="524" t="s">
        <v>457</v>
      </c>
      <c r="H128" s="525" t="s">
        <v>256</v>
      </c>
      <c r="I128" s="589">
        <v>1.99</v>
      </c>
      <c r="J128" s="589"/>
      <c r="K128" s="590"/>
      <c r="L128" s="590"/>
      <c r="M128" s="591">
        <f t="shared" si="24"/>
        <v>1.99</v>
      </c>
      <c r="N128" s="619"/>
      <c r="O128" s="105" t="s">
        <v>307</v>
      </c>
    </row>
    <row r="129" spans="2:15">
      <c r="B129" s="732">
        <f>B128+1</f>
        <v>101</v>
      </c>
      <c r="C129" s="734">
        <f>M129+M130+N129+N130</f>
        <v>103.44</v>
      </c>
      <c r="D129" s="735">
        <v>44841</v>
      </c>
      <c r="E129" s="736" t="s">
        <v>519</v>
      </c>
      <c r="F129" s="363" t="s">
        <v>520</v>
      </c>
      <c r="G129" s="733" t="s">
        <v>457</v>
      </c>
      <c r="H129" s="737" t="s">
        <v>653</v>
      </c>
      <c r="I129" s="593">
        <v>53.39</v>
      </c>
      <c r="J129" s="598"/>
      <c r="K129" s="593"/>
      <c r="L129" s="587"/>
      <c r="M129" s="588">
        <f t="shared" ref="M129:M130" si="55">SUM(I129:L129)</f>
        <v>53.39</v>
      </c>
      <c r="N129" s="620"/>
      <c r="O129" s="364" t="s">
        <v>306</v>
      </c>
    </row>
    <row r="130" spans="2:15">
      <c r="B130" s="732"/>
      <c r="C130" s="734"/>
      <c r="D130" s="735"/>
      <c r="E130" s="736"/>
      <c r="F130" s="365" t="s">
        <v>520</v>
      </c>
      <c r="G130" s="733"/>
      <c r="H130" s="737"/>
      <c r="I130" s="593">
        <v>50.05</v>
      </c>
      <c r="J130" s="598"/>
      <c r="K130" s="593"/>
      <c r="L130" s="587"/>
      <c r="M130" s="588">
        <f t="shared" si="55"/>
        <v>50.05</v>
      </c>
      <c r="N130" s="620"/>
      <c r="O130" s="364" t="s">
        <v>521</v>
      </c>
    </row>
    <row r="131" spans="2:15" s="45" customFormat="1">
      <c r="B131" s="177">
        <f>B128+1</f>
        <v>101</v>
      </c>
      <c r="C131" s="617">
        <f t="shared" ref="C131" si="56">SUM(M131:N131)</f>
        <v>-52</v>
      </c>
      <c r="D131" s="523">
        <f>'PockIt-Petty Cash'!B46</f>
        <v>44845</v>
      </c>
      <c r="E131" s="527" t="s">
        <v>640</v>
      </c>
      <c r="F131" s="139" t="s">
        <v>641</v>
      </c>
      <c r="G131" s="524" t="s">
        <v>457</v>
      </c>
      <c r="H131" s="525" t="s">
        <v>642</v>
      </c>
      <c r="I131" s="589"/>
      <c r="J131" s="589">
        <v>-52</v>
      </c>
      <c r="K131" s="590"/>
      <c r="L131" s="590"/>
      <c r="M131" s="591">
        <f t="shared" ref="M131" si="57">SUM(I131:L131)</f>
        <v>-52</v>
      </c>
      <c r="N131" s="619"/>
      <c r="O131" s="105" t="s">
        <v>345</v>
      </c>
    </row>
    <row r="132" spans="2:15" s="45" customFormat="1">
      <c r="B132" s="128">
        <f>B131+1</f>
        <v>102</v>
      </c>
      <c r="C132" s="618">
        <f t="shared" ref="C132:C203" si="58">SUM(M132:N132)</f>
        <v>1.99</v>
      </c>
      <c r="D132" s="519">
        <f>'PockIt-Petty Cash'!B47</f>
        <v>44845</v>
      </c>
      <c r="E132" s="31" t="s">
        <v>475</v>
      </c>
      <c r="F132" s="140" t="s">
        <v>582</v>
      </c>
      <c r="G132" s="520" t="s">
        <v>457</v>
      </c>
      <c r="H132" s="24" t="s">
        <v>256</v>
      </c>
      <c r="I132" s="593">
        <v>1.99</v>
      </c>
      <c r="J132" s="593"/>
      <c r="K132" s="587"/>
      <c r="L132" s="587"/>
      <c r="M132" s="588">
        <f t="shared" ref="M132:M134" si="59">SUM(I132:L132)</f>
        <v>1.99</v>
      </c>
      <c r="N132" s="620"/>
      <c r="O132" s="70" t="s">
        <v>307</v>
      </c>
    </row>
    <row r="133" spans="2:15" s="45" customFormat="1">
      <c r="B133" s="177">
        <f>B132+1</f>
        <v>103</v>
      </c>
      <c r="C133" s="617">
        <f>SUM(M133:N133)</f>
        <v>59.53</v>
      </c>
      <c r="D133" s="523">
        <v>44845</v>
      </c>
      <c r="E133" s="527" t="s">
        <v>254</v>
      </c>
      <c r="F133" s="577" t="s">
        <v>632</v>
      </c>
      <c r="G133" s="524" t="s">
        <v>457</v>
      </c>
      <c r="H133" s="525" t="s">
        <v>633</v>
      </c>
      <c r="I133" s="589"/>
      <c r="J133" s="589">
        <v>49.53</v>
      </c>
      <c r="K133" s="590"/>
      <c r="L133" s="590"/>
      <c r="M133" s="591">
        <f t="shared" si="59"/>
        <v>49.53</v>
      </c>
      <c r="N133" s="619">
        <v>10</v>
      </c>
      <c r="O133" s="105" t="s">
        <v>309</v>
      </c>
    </row>
    <row r="134" spans="2:15" s="45" customFormat="1">
      <c r="B134" s="128">
        <f t="shared" ref="B134:B147" si="60">B133+1</f>
        <v>104</v>
      </c>
      <c r="C134" s="618">
        <f t="shared" si="58"/>
        <v>118.17</v>
      </c>
      <c r="D134" s="519">
        <v>44855</v>
      </c>
      <c r="E134" s="31" t="s">
        <v>519</v>
      </c>
      <c r="F134" s="578" t="s">
        <v>465</v>
      </c>
      <c r="G134" s="520" t="s">
        <v>457</v>
      </c>
      <c r="H134" s="24" t="s">
        <v>466</v>
      </c>
      <c r="I134" s="593"/>
      <c r="J134" s="593">
        <v>112.55</v>
      </c>
      <c r="K134" s="587"/>
      <c r="L134" s="587"/>
      <c r="M134" s="588">
        <f t="shared" si="59"/>
        <v>112.55</v>
      </c>
      <c r="N134" s="620">
        <v>5.62</v>
      </c>
      <c r="O134" s="70" t="s">
        <v>310</v>
      </c>
    </row>
    <row r="135" spans="2:15" s="45" customFormat="1">
      <c r="B135" s="177">
        <f t="shared" si="60"/>
        <v>105</v>
      </c>
      <c r="C135" s="617">
        <f t="shared" si="58"/>
        <v>23.98</v>
      </c>
      <c r="D135" s="523">
        <v>44856</v>
      </c>
      <c r="E135" s="525" t="s">
        <v>254</v>
      </c>
      <c r="F135" s="579" t="s">
        <v>625</v>
      </c>
      <c r="G135" s="524" t="s">
        <v>457</v>
      </c>
      <c r="H135" s="525" t="s">
        <v>626</v>
      </c>
      <c r="I135" s="599"/>
      <c r="J135" s="590"/>
      <c r="K135" s="590"/>
      <c r="L135" s="590">
        <v>23.98</v>
      </c>
      <c r="M135" s="591">
        <f t="shared" ref="M135:M186" si="61">SUM(I135:L135)</f>
        <v>23.98</v>
      </c>
      <c r="N135" s="619"/>
      <c r="O135" s="105" t="s">
        <v>345</v>
      </c>
    </row>
    <row r="136" spans="2:15" s="45" customFormat="1">
      <c r="B136" s="128">
        <f t="shared" si="60"/>
        <v>106</v>
      </c>
      <c r="C136" s="618">
        <f t="shared" si="58"/>
        <v>62.52</v>
      </c>
      <c r="D136" s="519">
        <v>44858</v>
      </c>
      <c r="E136" s="24" t="s">
        <v>469</v>
      </c>
      <c r="F136" s="575" t="s">
        <v>627</v>
      </c>
      <c r="G136" s="520" t="s">
        <v>457</v>
      </c>
      <c r="H136" s="24" t="s">
        <v>628</v>
      </c>
      <c r="I136" s="602"/>
      <c r="J136" s="587">
        <v>52.1</v>
      </c>
      <c r="K136" s="587"/>
      <c r="L136" s="587"/>
      <c r="M136" s="588">
        <f t="shared" si="61"/>
        <v>52.1</v>
      </c>
      <c r="N136" s="620">
        <v>10.42</v>
      </c>
      <c r="O136" s="70" t="s">
        <v>323</v>
      </c>
    </row>
    <row r="137" spans="2:15" s="45" customFormat="1">
      <c r="B137" s="177">
        <f t="shared" si="60"/>
        <v>107</v>
      </c>
      <c r="C137" s="617">
        <f t="shared" si="58"/>
        <v>500</v>
      </c>
      <c r="D137" s="523">
        <v>44858</v>
      </c>
      <c r="E137" s="525" t="s">
        <v>469</v>
      </c>
      <c r="F137" s="161" t="s">
        <v>629</v>
      </c>
      <c r="G137" s="524" t="s">
        <v>457</v>
      </c>
      <c r="H137" s="525" t="s">
        <v>630</v>
      </c>
      <c r="I137" s="599"/>
      <c r="J137" s="590">
        <v>500</v>
      </c>
      <c r="K137" s="590"/>
      <c r="L137" s="590"/>
      <c r="M137" s="591">
        <f t="shared" si="61"/>
        <v>500</v>
      </c>
      <c r="N137" s="619"/>
      <c r="O137" s="105" t="s">
        <v>320</v>
      </c>
    </row>
    <row r="138" spans="2:15" s="45" customFormat="1">
      <c r="B138" s="128">
        <f t="shared" si="60"/>
        <v>108</v>
      </c>
      <c r="C138" s="618">
        <f t="shared" si="58"/>
        <v>720</v>
      </c>
      <c r="D138" s="519">
        <v>44858</v>
      </c>
      <c r="E138" s="24" t="s">
        <v>469</v>
      </c>
      <c r="F138" s="575" t="s">
        <v>631</v>
      </c>
      <c r="G138" s="520" t="s">
        <v>457</v>
      </c>
      <c r="H138" s="24" t="s">
        <v>530</v>
      </c>
      <c r="I138" s="602"/>
      <c r="J138" s="587">
        <v>720</v>
      </c>
      <c r="K138" s="587"/>
      <c r="L138" s="587"/>
      <c r="M138" s="588">
        <f t="shared" si="61"/>
        <v>720</v>
      </c>
      <c r="N138" s="620"/>
      <c r="O138" s="70" t="s">
        <v>312</v>
      </c>
    </row>
    <row r="139" spans="2:15" s="45" customFormat="1">
      <c r="B139" s="177">
        <f t="shared" si="60"/>
        <v>109</v>
      </c>
      <c r="C139" s="617">
        <f t="shared" si="58"/>
        <v>38.06</v>
      </c>
      <c r="D139" s="523">
        <v>44858</v>
      </c>
      <c r="E139" s="525" t="s">
        <v>469</v>
      </c>
      <c r="F139" s="579" t="s">
        <v>634</v>
      </c>
      <c r="G139" s="524" t="s">
        <v>457</v>
      </c>
      <c r="H139" s="525" t="s">
        <v>462</v>
      </c>
      <c r="I139" s="599"/>
      <c r="J139" s="590">
        <v>31.72</v>
      </c>
      <c r="K139" s="590"/>
      <c r="L139" s="590"/>
      <c r="M139" s="591">
        <f t="shared" si="61"/>
        <v>31.72</v>
      </c>
      <c r="N139" s="619">
        <v>6.34</v>
      </c>
      <c r="O139" s="105" t="s">
        <v>312</v>
      </c>
    </row>
    <row r="140" spans="2:15" s="45" customFormat="1">
      <c r="B140" s="732">
        <f t="shared" si="60"/>
        <v>110</v>
      </c>
      <c r="C140" s="734">
        <f>M140+M141+N140+N141+M142+N142</f>
        <v>255.43</v>
      </c>
      <c r="D140" s="735">
        <v>44858</v>
      </c>
      <c r="E140" s="737" t="s">
        <v>469</v>
      </c>
      <c r="F140" s="575" t="s">
        <v>635</v>
      </c>
      <c r="G140" s="733" t="s">
        <v>457</v>
      </c>
      <c r="H140" s="737" t="s">
        <v>492</v>
      </c>
      <c r="I140" s="602"/>
      <c r="J140" s="587">
        <v>178.79</v>
      </c>
      <c r="K140" s="587"/>
      <c r="L140" s="587"/>
      <c r="M140" s="588">
        <f t="shared" si="61"/>
        <v>178.79</v>
      </c>
      <c r="N140" s="620">
        <v>35.76</v>
      </c>
      <c r="O140" s="70" t="s">
        <v>307</v>
      </c>
    </row>
    <row r="141" spans="2:15" s="45" customFormat="1">
      <c r="B141" s="732"/>
      <c r="C141" s="734"/>
      <c r="D141" s="735"/>
      <c r="E141" s="737"/>
      <c r="F141" s="575" t="s">
        <v>636</v>
      </c>
      <c r="G141" s="733"/>
      <c r="H141" s="737"/>
      <c r="I141" s="602"/>
      <c r="J141" s="587">
        <v>7.04</v>
      </c>
      <c r="K141" s="587"/>
      <c r="L141" s="587"/>
      <c r="M141" s="588">
        <f t="shared" si="61"/>
        <v>7.04</v>
      </c>
      <c r="N141" s="620">
        <v>0.89</v>
      </c>
      <c r="O141" s="70" t="s">
        <v>323</v>
      </c>
    </row>
    <row r="142" spans="2:15" s="45" customFormat="1">
      <c r="B142" s="732"/>
      <c r="C142" s="734"/>
      <c r="D142" s="735"/>
      <c r="E142" s="737"/>
      <c r="F142" s="575" t="s">
        <v>637</v>
      </c>
      <c r="G142" s="733"/>
      <c r="H142" s="737"/>
      <c r="I142" s="602"/>
      <c r="J142" s="587">
        <v>27.46</v>
      </c>
      <c r="K142" s="587"/>
      <c r="L142" s="587"/>
      <c r="M142" s="588">
        <f t="shared" si="61"/>
        <v>27.46</v>
      </c>
      <c r="N142" s="620">
        <v>5.49</v>
      </c>
      <c r="O142" s="70" t="s">
        <v>345</v>
      </c>
    </row>
    <row r="143" spans="2:15" s="45" customFormat="1">
      <c r="B143" s="177">
        <f>B140+1</f>
        <v>111</v>
      </c>
      <c r="C143" s="617">
        <f t="shared" si="58"/>
        <v>614.03</v>
      </c>
      <c r="D143" s="523">
        <v>44865</v>
      </c>
      <c r="E143" s="525" t="s">
        <v>507</v>
      </c>
      <c r="F143" s="161" t="s">
        <v>508</v>
      </c>
      <c r="G143" s="524" t="s">
        <v>457</v>
      </c>
      <c r="H143" s="525" t="s">
        <v>509</v>
      </c>
      <c r="I143" s="589">
        <v>614.03</v>
      </c>
      <c r="J143" s="590"/>
      <c r="K143" s="590"/>
      <c r="L143" s="590"/>
      <c r="M143" s="591">
        <f t="shared" si="61"/>
        <v>614.03</v>
      </c>
      <c r="N143" s="619"/>
      <c r="O143" s="105" t="s">
        <v>306</v>
      </c>
    </row>
    <row r="144" spans="2:15" s="45" customFormat="1">
      <c r="B144" s="128">
        <f>B143+1</f>
        <v>112</v>
      </c>
      <c r="C144" s="618">
        <f t="shared" ref="C144" si="62">SUM(M144:N144)</f>
        <v>1.99</v>
      </c>
      <c r="D144" s="519">
        <v>44876</v>
      </c>
      <c r="E144" s="31" t="s">
        <v>475</v>
      </c>
      <c r="F144" s="140" t="s">
        <v>582</v>
      </c>
      <c r="G144" s="520" t="s">
        <v>457</v>
      </c>
      <c r="H144" s="24" t="s">
        <v>256</v>
      </c>
      <c r="I144" s="593">
        <v>1.99</v>
      </c>
      <c r="J144" s="593"/>
      <c r="K144" s="587"/>
      <c r="L144" s="587"/>
      <c r="M144" s="588">
        <f t="shared" si="61"/>
        <v>1.99</v>
      </c>
      <c r="N144" s="620"/>
      <c r="O144" s="70" t="s">
        <v>307</v>
      </c>
    </row>
    <row r="145" spans="2:15" s="45" customFormat="1">
      <c r="B145" s="177">
        <f>B144+1</f>
        <v>113</v>
      </c>
      <c r="C145" s="617">
        <f t="shared" ref="C145" si="63">SUM(M145:N145)</f>
        <v>48</v>
      </c>
      <c r="D145" s="523">
        <v>44879</v>
      </c>
      <c r="E145" s="527" t="s">
        <v>254</v>
      </c>
      <c r="F145" s="161" t="s">
        <v>647</v>
      </c>
      <c r="G145" s="524" t="s">
        <v>457</v>
      </c>
      <c r="H145" s="525" t="s">
        <v>405</v>
      </c>
      <c r="I145" s="589"/>
      <c r="J145" s="589">
        <v>48</v>
      </c>
      <c r="K145" s="590"/>
      <c r="L145" s="590"/>
      <c r="M145" s="591">
        <f t="shared" ref="M145" si="64">SUM(I145:L145)</f>
        <v>48</v>
      </c>
      <c r="N145" s="619"/>
      <c r="O145" s="105" t="s">
        <v>319</v>
      </c>
    </row>
    <row r="146" spans="2:15" s="45" customFormat="1">
      <c r="B146" s="128">
        <f>B145+1</f>
        <v>114</v>
      </c>
      <c r="C146" s="618">
        <f t="shared" si="58"/>
        <v>107.74</v>
      </c>
      <c r="D146" s="519">
        <v>44885</v>
      </c>
      <c r="E146" s="31" t="s">
        <v>519</v>
      </c>
      <c r="F146" s="578" t="s">
        <v>465</v>
      </c>
      <c r="G146" s="520" t="s">
        <v>457</v>
      </c>
      <c r="H146" s="24" t="s">
        <v>466</v>
      </c>
      <c r="I146" s="593"/>
      <c r="J146" s="593">
        <v>102.61</v>
      </c>
      <c r="K146" s="587"/>
      <c r="L146" s="587"/>
      <c r="M146" s="588">
        <f t="shared" si="61"/>
        <v>102.61</v>
      </c>
      <c r="N146" s="620">
        <f>M146*5%</f>
        <v>5.13</v>
      </c>
      <c r="O146" s="70" t="s">
        <v>310</v>
      </c>
    </row>
    <row r="147" spans="2:15" s="45" customFormat="1">
      <c r="B147" s="177">
        <f t="shared" si="60"/>
        <v>115</v>
      </c>
      <c r="C147" s="617">
        <f t="shared" si="58"/>
        <v>51.6</v>
      </c>
      <c r="D147" s="523">
        <v>44887</v>
      </c>
      <c r="E147" s="525" t="s">
        <v>469</v>
      </c>
      <c r="F147" s="579" t="s">
        <v>249</v>
      </c>
      <c r="G147" s="524" t="s">
        <v>457</v>
      </c>
      <c r="H147" s="525" t="s">
        <v>643</v>
      </c>
      <c r="I147" s="599"/>
      <c r="J147" s="590">
        <v>43</v>
      </c>
      <c r="K147" s="590"/>
      <c r="L147" s="590"/>
      <c r="M147" s="591">
        <f t="shared" si="61"/>
        <v>43</v>
      </c>
      <c r="N147" s="619">
        <f>M147*20%</f>
        <v>8.6</v>
      </c>
      <c r="O147" s="105" t="s">
        <v>345</v>
      </c>
    </row>
    <row r="148" spans="2:15" s="45" customFormat="1">
      <c r="B148" s="128">
        <f>B147+1</f>
        <v>116</v>
      </c>
      <c r="C148" s="618">
        <f t="shared" si="58"/>
        <v>535.01</v>
      </c>
      <c r="D148" s="519">
        <v>44887</v>
      </c>
      <c r="E148" s="24" t="s">
        <v>469</v>
      </c>
      <c r="F148" s="168" t="s">
        <v>476</v>
      </c>
      <c r="G148" s="520" t="s">
        <v>457</v>
      </c>
      <c r="H148" s="24" t="s">
        <v>477</v>
      </c>
      <c r="I148" s="602">
        <v>535.01</v>
      </c>
      <c r="J148" s="587"/>
      <c r="K148" s="587"/>
      <c r="L148" s="587"/>
      <c r="M148" s="588">
        <f t="shared" si="61"/>
        <v>535.01</v>
      </c>
      <c r="N148" s="620"/>
      <c r="O148" s="70" t="s">
        <v>306</v>
      </c>
    </row>
    <row r="149" spans="2:15" s="45" customFormat="1">
      <c r="B149" s="177">
        <f t="shared" ref="B149:B203" si="65">B148+1</f>
        <v>117</v>
      </c>
      <c r="C149" s="617">
        <f t="shared" si="58"/>
        <v>360</v>
      </c>
      <c r="D149" s="523">
        <v>44887</v>
      </c>
      <c r="E149" s="525" t="s">
        <v>469</v>
      </c>
      <c r="F149" s="579" t="s">
        <v>644</v>
      </c>
      <c r="G149" s="524" t="s">
        <v>457</v>
      </c>
      <c r="H149" s="525" t="s">
        <v>530</v>
      </c>
      <c r="I149" s="599"/>
      <c r="J149" s="590">
        <v>360</v>
      </c>
      <c r="K149" s="590"/>
      <c r="L149" s="590"/>
      <c r="M149" s="591">
        <f t="shared" si="61"/>
        <v>360</v>
      </c>
      <c r="N149" s="619"/>
      <c r="O149" s="105" t="s">
        <v>312</v>
      </c>
    </row>
    <row r="150" spans="2:15" s="45" customFormat="1">
      <c r="B150" s="128">
        <f t="shared" si="65"/>
        <v>118</v>
      </c>
      <c r="C150" s="618">
        <f t="shared" si="58"/>
        <v>4200</v>
      </c>
      <c r="D150" s="519">
        <v>44887</v>
      </c>
      <c r="E150" s="24" t="s">
        <v>469</v>
      </c>
      <c r="F150" s="575" t="s">
        <v>645</v>
      </c>
      <c r="G150" s="520" t="s">
        <v>457</v>
      </c>
      <c r="H150" s="24" t="s">
        <v>646</v>
      </c>
      <c r="I150" s="602"/>
      <c r="J150" s="587">
        <v>4200</v>
      </c>
      <c r="K150" s="587"/>
      <c r="L150" s="587"/>
      <c r="M150" s="588">
        <f t="shared" si="61"/>
        <v>4200</v>
      </c>
      <c r="N150" s="620"/>
      <c r="O150" s="70" t="s">
        <v>323</v>
      </c>
    </row>
    <row r="151" spans="2:15" s="45" customFormat="1">
      <c r="B151" s="177">
        <f t="shared" si="65"/>
        <v>119</v>
      </c>
      <c r="C151" s="617">
        <f t="shared" si="58"/>
        <v>614.03</v>
      </c>
      <c r="D151" s="523">
        <v>44895</v>
      </c>
      <c r="E151" s="525" t="s">
        <v>507</v>
      </c>
      <c r="F151" s="161" t="s">
        <v>508</v>
      </c>
      <c r="G151" s="524" t="s">
        <v>457</v>
      </c>
      <c r="H151" s="525" t="s">
        <v>509</v>
      </c>
      <c r="I151" s="589">
        <v>614.03</v>
      </c>
      <c r="J151" s="590"/>
      <c r="K151" s="590"/>
      <c r="L151" s="590"/>
      <c r="M151" s="591">
        <f t="shared" ref="M151" si="66">SUM(I151:L151)</f>
        <v>614.03</v>
      </c>
      <c r="N151" s="619"/>
      <c r="O151" s="105" t="s">
        <v>306</v>
      </c>
    </row>
    <row r="152" spans="2:15" s="45" customFormat="1">
      <c r="B152" s="732">
        <f>B151+1</f>
        <v>120</v>
      </c>
      <c r="C152" s="734">
        <f>M152+M153+N152+N153</f>
        <v>103.44</v>
      </c>
      <c r="D152" s="735">
        <v>44896</v>
      </c>
      <c r="E152" s="736" t="s">
        <v>519</v>
      </c>
      <c r="F152" s="363" t="s">
        <v>520</v>
      </c>
      <c r="G152" s="733" t="s">
        <v>457</v>
      </c>
      <c r="H152" s="737" t="s">
        <v>654</v>
      </c>
      <c r="I152" s="593">
        <v>53.39</v>
      </c>
      <c r="J152" s="598"/>
      <c r="K152" s="593"/>
      <c r="L152" s="587"/>
      <c r="M152" s="588">
        <f t="shared" ref="M152:M153" si="67">SUM(I152:L152)</f>
        <v>53.39</v>
      </c>
      <c r="N152" s="620"/>
      <c r="O152" s="364" t="s">
        <v>306</v>
      </c>
    </row>
    <row r="153" spans="2:15" s="45" customFormat="1">
      <c r="B153" s="732"/>
      <c r="C153" s="734"/>
      <c r="D153" s="735"/>
      <c r="E153" s="736"/>
      <c r="F153" s="365" t="s">
        <v>520</v>
      </c>
      <c r="G153" s="733"/>
      <c r="H153" s="737"/>
      <c r="I153" s="593">
        <v>50.05</v>
      </c>
      <c r="J153" s="598"/>
      <c r="K153" s="593"/>
      <c r="L153" s="587"/>
      <c r="M153" s="588">
        <f t="shared" si="67"/>
        <v>50.05</v>
      </c>
      <c r="N153" s="620"/>
      <c r="O153" s="364" t="s">
        <v>521</v>
      </c>
    </row>
    <row r="154" spans="2:15" s="45" customFormat="1">
      <c r="B154" s="177">
        <f>B152+1</f>
        <v>121</v>
      </c>
      <c r="C154" s="617">
        <f t="shared" si="58"/>
        <v>42.95</v>
      </c>
      <c r="D154" s="523">
        <v>44899</v>
      </c>
      <c r="E154" s="525" t="s">
        <v>254</v>
      </c>
      <c r="F154" s="161" t="s">
        <v>671</v>
      </c>
      <c r="G154" s="524" t="s">
        <v>457</v>
      </c>
      <c r="H154" s="525" t="s">
        <v>672</v>
      </c>
      <c r="I154" s="589">
        <f>29.17+6.62</f>
        <v>35.79</v>
      </c>
      <c r="J154" s="590"/>
      <c r="K154" s="590"/>
      <c r="L154" s="590"/>
      <c r="M154" s="591">
        <f t="shared" ref="M154" si="68">SUM(I154:L154)</f>
        <v>35.79</v>
      </c>
      <c r="N154" s="619">
        <v>7.16</v>
      </c>
      <c r="O154" s="105" t="s">
        <v>307</v>
      </c>
    </row>
    <row r="155" spans="2:15" s="45" customFormat="1">
      <c r="B155" s="732">
        <f>B154+1</f>
        <v>122</v>
      </c>
      <c r="C155" s="734">
        <f>M155+M156+N155+N156</f>
        <v>163.62</v>
      </c>
      <c r="D155" s="735">
        <v>44903</v>
      </c>
      <c r="E155" s="736" t="s">
        <v>519</v>
      </c>
      <c r="F155" s="363" t="s">
        <v>520</v>
      </c>
      <c r="G155" s="733" t="s">
        <v>457</v>
      </c>
      <c r="H155" s="737" t="s">
        <v>655</v>
      </c>
      <c r="I155" s="593">
        <v>84.45</v>
      </c>
      <c r="J155" s="598"/>
      <c r="K155" s="593"/>
      <c r="L155" s="587"/>
      <c r="M155" s="588">
        <f t="shared" ref="M155:M156" si="69">SUM(I155:L155)</f>
        <v>84.45</v>
      </c>
      <c r="N155" s="620"/>
      <c r="O155" s="364" t="s">
        <v>306</v>
      </c>
    </row>
    <row r="156" spans="2:15" s="45" customFormat="1">
      <c r="B156" s="732"/>
      <c r="C156" s="734"/>
      <c r="D156" s="735"/>
      <c r="E156" s="736"/>
      <c r="F156" s="365" t="s">
        <v>520</v>
      </c>
      <c r="G156" s="733"/>
      <c r="H156" s="737"/>
      <c r="I156" s="593">
        <v>79.17</v>
      </c>
      <c r="J156" s="598"/>
      <c r="K156" s="593"/>
      <c r="L156" s="587"/>
      <c r="M156" s="588">
        <f t="shared" si="69"/>
        <v>79.17</v>
      </c>
      <c r="N156" s="620"/>
      <c r="O156" s="364" t="s">
        <v>521</v>
      </c>
    </row>
    <row r="157" spans="2:15" s="45" customFormat="1">
      <c r="B157" s="177">
        <f>B155+1</f>
        <v>123</v>
      </c>
      <c r="C157" s="617">
        <f t="shared" ref="C157" si="70">SUM(M157:N157)</f>
        <v>1.99</v>
      </c>
      <c r="D157" s="523">
        <v>44910</v>
      </c>
      <c r="E157" s="525" t="s">
        <v>475</v>
      </c>
      <c r="F157" s="161" t="s">
        <v>582</v>
      </c>
      <c r="G157" s="524" t="s">
        <v>457</v>
      </c>
      <c r="H157" s="525" t="s">
        <v>256</v>
      </c>
      <c r="I157" s="599">
        <v>1.99</v>
      </c>
      <c r="J157" s="590"/>
      <c r="K157" s="590"/>
      <c r="L157" s="590"/>
      <c r="M157" s="591">
        <f t="shared" ref="M157" si="71">SUM(I157:L157)</f>
        <v>1.99</v>
      </c>
      <c r="N157" s="619"/>
      <c r="O157" s="105" t="s">
        <v>307</v>
      </c>
    </row>
    <row r="158" spans="2:15" s="45" customFormat="1">
      <c r="B158" s="128">
        <f>B157+1</f>
        <v>124</v>
      </c>
      <c r="C158" s="618">
        <f>SUM(M158:N158)</f>
        <v>111.21</v>
      </c>
      <c r="D158" s="519">
        <v>44914</v>
      </c>
      <c r="E158" s="31" t="s">
        <v>519</v>
      </c>
      <c r="F158" s="578" t="s">
        <v>465</v>
      </c>
      <c r="G158" s="520" t="s">
        <v>457</v>
      </c>
      <c r="H158" s="24" t="s">
        <v>466</v>
      </c>
      <c r="I158" s="593"/>
      <c r="J158" s="593">
        <v>105.92</v>
      </c>
      <c r="K158" s="587"/>
      <c r="L158" s="587"/>
      <c r="M158" s="588">
        <f t="shared" ref="M158" si="72">SUM(I158:L158)</f>
        <v>105.92</v>
      </c>
      <c r="N158" s="620">
        <v>5.29</v>
      </c>
      <c r="O158" s="70" t="s">
        <v>310</v>
      </c>
    </row>
    <row r="159" spans="2:15" s="45" customFormat="1">
      <c r="B159" s="177">
        <f>B158+1</f>
        <v>125</v>
      </c>
      <c r="C159" s="617">
        <f t="shared" si="58"/>
        <v>46.42</v>
      </c>
      <c r="D159" s="523">
        <v>44916</v>
      </c>
      <c r="E159" s="525" t="s">
        <v>469</v>
      </c>
      <c r="F159" s="579" t="s">
        <v>657</v>
      </c>
      <c r="G159" s="524" t="s">
        <v>457</v>
      </c>
      <c r="H159" s="525" t="s">
        <v>585</v>
      </c>
      <c r="I159" s="599"/>
      <c r="J159" s="590"/>
      <c r="K159" s="590"/>
      <c r="L159" s="590"/>
      <c r="M159" s="591">
        <f t="shared" si="61"/>
        <v>0</v>
      </c>
      <c r="N159" s="619">
        <v>46.42</v>
      </c>
      <c r="O159" s="105"/>
    </row>
    <row r="160" spans="2:15" s="45" customFormat="1">
      <c r="B160" s="128">
        <f t="shared" si="65"/>
        <v>126</v>
      </c>
      <c r="C160" s="618">
        <f t="shared" si="58"/>
        <v>24.07</v>
      </c>
      <c r="D160" s="519">
        <v>44916</v>
      </c>
      <c r="E160" s="24" t="s">
        <v>469</v>
      </c>
      <c r="F160" s="575" t="s">
        <v>658</v>
      </c>
      <c r="G160" s="520" t="s">
        <v>457</v>
      </c>
      <c r="H160" s="24" t="s">
        <v>628</v>
      </c>
      <c r="I160" s="602"/>
      <c r="J160" s="587">
        <v>24.07</v>
      </c>
      <c r="K160" s="587"/>
      <c r="L160" s="587"/>
      <c r="M160" s="588">
        <f t="shared" si="61"/>
        <v>24.07</v>
      </c>
      <c r="N160" s="620"/>
      <c r="O160" s="70" t="s">
        <v>345</v>
      </c>
    </row>
    <row r="161" spans="2:15" s="45" customFormat="1">
      <c r="B161" s="177">
        <f t="shared" si="65"/>
        <v>127</v>
      </c>
      <c r="C161" s="617">
        <f t="shared" si="58"/>
        <v>500</v>
      </c>
      <c r="D161" s="523">
        <v>44916</v>
      </c>
      <c r="E161" s="525" t="s">
        <v>469</v>
      </c>
      <c r="F161" s="161" t="s">
        <v>659</v>
      </c>
      <c r="G161" s="524" t="s">
        <v>457</v>
      </c>
      <c r="H161" s="525" t="s">
        <v>660</v>
      </c>
      <c r="I161" s="599"/>
      <c r="J161" s="590"/>
      <c r="K161" s="590"/>
      <c r="L161" s="590">
        <v>500</v>
      </c>
      <c r="M161" s="591">
        <f t="shared" si="61"/>
        <v>500</v>
      </c>
      <c r="N161" s="619"/>
      <c r="O161" s="105" t="s">
        <v>490</v>
      </c>
    </row>
    <row r="162" spans="2:15" s="45" customFormat="1">
      <c r="B162" s="128">
        <f t="shared" si="65"/>
        <v>128</v>
      </c>
      <c r="C162" s="618">
        <f t="shared" si="58"/>
        <v>275</v>
      </c>
      <c r="D162" s="519">
        <v>44916</v>
      </c>
      <c r="E162" s="24" t="s">
        <v>469</v>
      </c>
      <c r="F162" s="575" t="s">
        <v>661</v>
      </c>
      <c r="G162" s="520" t="s">
        <v>457</v>
      </c>
      <c r="H162" s="24" t="s">
        <v>662</v>
      </c>
      <c r="I162" s="602"/>
      <c r="J162" s="587">
        <v>275</v>
      </c>
      <c r="K162" s="587"/>
      <c r="L162" s="587"/>
      <c r="M162" s="588">
        <f t="shared" si="61"/>
        <v>275</v>
      </c>
      <c r="N162" s="620"/>
      <c r="O162" s="70" t="s">
        <v>311</v>
      </c>
    </row>
    <row r="163" spans="2:15" s="45" customFormat="1">
      <c r="B163" s="177">
        <f t="shared" si="65"/>
        <v>129</v>
      </c>
      <c r="C163" s="617">
        <f t="shared" si="58"/>
        <v>180</v>
      </c>
      <c r="D163" s="523">
        <v>44916</v>
      </c>
      <c r="E163" s="525" t="s">
        <v>469</v>
      </c>
      <c r="F163" s="579" t="s">
        <v>663</v>
      </c>
      <c r="G163" s="524" t="s">
        <v>457</v>
      </c>
      <c r="H163" s="525" t="s">
        <v>664</v>
      </c>
      <c r="I163" s="599"/>
      <c r="J163" s="590">
        <v>180</v>
      </c>
      <c r="K163" s="590"/>
      <c r="L163" s="590"/>
      <c r="M163" s="591">
        <f t="shared" si="61"/>
        <v>180</v>
      </c>
      <c r="N163" s="619"/>
      <c r="O163" s="105" t="s">
        <v>312</v>
      </c>
    </row>
    <row r="164" spans="2:15" s="45" customFormat="1">
      <c r="B164" s="128">
        <f t="shared" si="65"/>
        <v>130</v>
      </c>
      <c r="C164" s="618">
        <f t="shared" si="58"/>
        <v>293</v>
      </c>
      <c r="D164" s="519">
        <v>44917</v>
      </c>
      <c r="E164" s="24" t="s">
        <v>254</v>
      </c>
      <c r="F164" s="575" t="s">
        <v>665</v>
      </c>
      <c r="G164" s="520" t="s">
        <v>457</v>
      </c>
      <c r="H164" s="24" t="s">
        <v>666</v>
      </c>
      <c r="I164" s="602"/>
      <c r="J164" s="587">
        <v>244.17</v>
      </c>
      <c r="K164" s="587"/>
      <c r="L164" s="587"/>
      <c r="M164" s="588">
        <f t="shared" si="61"/>
        <v>244.17</v>
      </c>
      <c r="N164" s="620">
        <v>48.83</v>
      </c>
      <c r="O164" s="70" t="s">
        <v>317</v>
      </c>
    </row>
    <row r="165" spans="2:15" s="45" customFormat="1">
      <c r="B165" s="177">
        <f>B164+1</f>
        <v>131</v>
      </c>
      <c r="C165" s="617">
        <f>SUM(M165:N165)</f>
        <v>14.39</v>
      </c>
      <c r="D165" s="523">
        <v>44919</v>
      </c>
      <c r="E165" s="525" t="s">
        <v>254</v>
      </c>
      <c r="F165" s="579" t="s">
        <v>668</v>
      </c>
      <c r="G165" s="524" t="s">
        <v>457</v>
      </c>
      <c r="H165" s="525" t="s">
        <v>669</v>
      </c>
      <c r="I165" s="599"/>
      <c r="J165" s="590">
        <v>11.99</v>
      </c>
      <c r="K165" s="590"/>
      <c r="L165" s="590"/>
      <c r="M165" s="591">
        <f>SUM(I165:L165)</f>
        <v>11.99</v>
      </c>
      <c r="N165" s="619">
        <v>2.4</v>
      </c>
      <c r="O165" s="105" t="s">
        <v>322</v>
      </c>
    </row>
    <row r="166" spans="2:15" s="45" customFormat="1">
      <c r="B166" s="128">
        <f>B165+1</f>
        <v>132</v>
      </c>
      <c r="C166" s="618">
        <f>SUM(M166:N166)</f>
        <v>62.37</v>
      </c>
      <c r="D166" s="519">
        <v>45287</v>
      </c>
      <c r="E166" s="24" t="s">
        <v>254</v>
      </c>
      <c r="F166" s="575" t="s">
        <v>668</v>
      </c>
      <c r="G166" s="520" t="s">
        <v>457</v>
      </c>
      <c r="H166" s="24" t="s">
        <v>669</v>
      </c>
      <c r="I166" s="602"/>
      <c r="J166" s="587">
        <v>51.97</v>
      </c>
      <c r="K166" s="587"/>
      <c r="L166" s="587"/>
      <c r="M166" s="588">
        <f t="shared" ref="M166" si="73">SUM(I166:L166)</f>
        <v>51.97</v>
      </c>
      <c r="N166" s="620">
        <v>10.4</v>
      </c>
      <c r="O166" s="70" t="s">
        <v>322</v>
      </c>
    </row>
    <row r="167" spans="2:15" s="45" customFormat="1">
      <c r="B167" s="177">
        <f>B166+1</f>
        <v>133</v>
      </c>
      <c r="C167" s="617">
        <f t="shared" si="58"/>
        <v>18</v>
      </c>
      <c r="D167" s="523">
        <v>44926</v>
      </c>
      <c r="E167" s="525" t="s">
        <v>475</v>
      </c>
      <c r="F167" s="161" t="s">
        <v>582</v>
      </c>
      <c r="G167" s="524" t="s">
        <v>457</v>
      </c>
      <c r="H167" s="525" t="s">
        <v>581</v>
      </c>
      <c r="I167" s="599">
        <v>18</v>
      </c>
      <c r="J167" s="590"/>
      <c r="K167" s="590"/>
      <c r="L167" s="590"/>
      <c r="M167" s="591">
        <f t="shared" si="61"/>
        <v>18</v>
      </c>
      <c r="N167" s="619"/>
      <c r="O167" s="105" t="s">
        <v>307</v>
      </c>
    </row>
    <row r="168" spans="2:15">
      <c r="B168" s="128">
        <f>B167+1</f>
        <v>134</v>
      </c>
      <c r="C168" s="618">
        <f t="shared" si="58"/>
        <v>614.03</v>
      </c>
      <c r="D168" s="519">
        <v>44929</v>
      </c>
      <c r="E168" s="24" t="s">
        <v>507</v>
      </c>
      <c r="F168" s="168" t="s">
        <v>508</v>
      </c>
      <c r="G168" s="520" t="s">
        <v>457</v>
      </c>
      <c r="H168" s="24" t="s">
        <v>509</v>
      </c>
      <c r="I168" s="602">
        <v>614.03</v>
      </c>
      <c r="J168" s="587"/>
      <c r="K168" s="587"/>
      <c r="L168" s="587"/>
      <c r="M168" s="588">
        <f t="shared" si="61"/>
        <v>614.03</v>
      </c>
      <c r="N168" s="620"/>
      <c r="O168" s="70" t="s">
        <v>306</v>
      </c>
    </row>
    <row r="169" spans="2:15" s="45" customFormat="1">
      <c r="B169" s="729">
        <f>B168+1</f>
        <v>135</v>
      </c>
      <c r="C169" s="739">
        <f>M169+M170+N169+N170</f>
        <v>110.96</v>
      </c>
      <c r="D169" s="740">
        <v>44935</v>
      </c>
      <c r="E169" s="741" t="s">
        <v>519</v>
      </c>
      <c r="F169" s="178" t="s">
        <v>520</v>
      </c>
      <c r="G169" s="743" t="s">
        <v>457</v>
      </c>
      <c r="H169" s="744" t="s">
        <v>674</v>
      </c>
      <c r="I169" s="589">
        <v>57.27</v>
      </c>
      <c r="J169" s="592"/>
      <c r="K169" s="589"/>
      <c r="L169" s="590"/>
      <c r="M169" s="591">
        <f t="shared" ref="M169:M170" si="74">SUM(I169:L169)</f>
        <v>57.27</v>
      </c>
      <c r="N169" s="619"/>
      <c r="O169" s="179" t="s">
        <v>306</v>
      </c>
    </row>
    <row r="170" spans="2:15" s="45" customFormat="1">
      <c r="B170" s="729"/>
      <c r="C170" s="739"/>
      <c r="D170" s="740"/>
      <c r="E170" s="741"/>
      <c r="F170" s="604" t="s">
        <v>520</v>
      </c>
      <c r="G170" s="743"/>
      <c r="H170" s="744"/>
      <c r="I170" s="589">
        <v>53.69</v>
      </c>
      <c r="J170" s="592"/>
      <c r="K170" s="589"/>
      <c r="L170" s="590"/>
      <c r="M170" s="591">
        <f t="shared" si="74"/>
        <v>53.69</v>
      </c>
      <c r="N170" s="619"/>
      <c r="O170" s="179" t="s">
        <v>521</v>
      </c>
    </row>
    <row r="171" spans="2:15" s="45" customFormat="1">
      <c r="B171" s="128">
        <f>B169+1</f>
        <v>136</v>
      </c>
      <c r="C171" s="618">
        <f t="shared" ref="C171" si="75">SUM(M171:N171)</f>
        <v>1.99</v>
      </c>
      <c r="D171" s="519">
        <v>44937</v>
      </c>
      <c r="E171" s="574" t="s">
        <v>475</v>
      </c>
      <c r="F171" s="627" t="s">
        <v>582</v>
      </c>
      <c r="G171" s="520" t="s">
        <v>457</v>
      </c>
      <c r="H171" s="24" t="s">
        <v>256</v>
      </c>
      <c r="I171" s="603">
        <v>1.99</v>
      </c>
      <c r="J171" s="598"/>
      <c r="K171" s="593"/>
      <c r="L171" s="587"/>
      <c r="M171" s="588">
        <f t="shared" ref="M171" si="76">SUM(I171:L171)</f>
        <v>1.99</v>
      </c>
      <c r="N171" s="620"/>
      <c r="O171" s="364" t="s">
        <v>307</v>
      </c>
    </row>
    <row r="172" spans="2:15">
      <c r="B172" s="177">
        <f>B171+1</f>
        <v>137</v>
      </c>
      <c r="C172" s="617">
        <f t="shared" si="58"/>
        <v>121.66</v>
      </c>
      <c r="D172" s="523">
        <v>44949</v>
      </c>
      <c r="E172" s="525" t="s">
        <v>519</v>
      </c>
      <c r="F172" s="161" t="s">
        <v>465</v>
      </c>
      <c r="G172" s="524" t="s">
        <v>457</v>
      </c>
      <c r="H172" s="581" t="s">
        <v>466</v>
      </c>
      <c r="I172" s="599"/>
      <c r="J172" s="590">
        <v>115.87</v>
      </c>
      <c r="K172" s="590"/>
      <c r="L172" s="590"/>
      <c r="M172" s="591">
        <f t="shared" si="61"/>
        <v>115.87</v>
      </c>
      <c r="N172" s="619">
        <v>5.79</v>
      </c>
      <c r="O172" s="105" t="s">
        <v>310</v>
      </c>
    </row>
    <row r="173" spans="2:15">
      <c r="B173" s="128">
        <f t="shared" si="65"/>
        <v>138</v>
      </c>
      <c r="C173" s="618">
        <f t="shared" si="58"/>
        <v>227.36</v>
      </c>
      <c r="D173" s="519">
        <v>44950</v>
      </c>
      <c r="E173" s="24" t="s">
        <v>519</v>
      </c>
      <c r="F173" s="168" t="s">
        <v>476</v>
      </c>
      <c r="G173" s="520" t="s">
        <v>457</v>
      </c>
      <c r="H173" s="24" t="s">
        <v>477</v>
      </c>
      <c r="I173" s="602">
        <v>227.36</v>
      </c>
      <c r="J173" s="587"/>
      <c r="K173" s="587"/>
      <c r="L173" s="587"/>
      <c r="M173" s="588">
        <f t="shared" si="61"/>
        <v>227.36</v>
      </c>
      <c r="N173" s="620"/>
      <c r="O173" s="364" t="s">
        <v>306</v>
      </c>
    </row>
    <row r="174" spans="2:15">
      <c r="B174" s="177">
        <f t="shared" si="65"/>
        <v>139</v>
      </c>
      <c r="C174" s="617">
        <f t="shared" si="58"/>
        <v>614.03</v>
      </c>
      <c r="D174" s="523">
        <v>44957</v>
      </c>
      <c r="E174" s="525" t="s">
        <v>507</v>
      </c>
      <c r="F174" s="161" t="s">
        <v>508</v>
      </c>
      <c r="G174" s="524" t="s">
        <v>457</v>
      </c>
      <c r="H174" s="525" t="s">
        <v>509</v>
      </c>
      <c r="I174" s="599">
        <v>614.03</v>
      </c>
      <c r="J174" s="590"/>
      <c r="K174" s="590"/>
      <c r="L174" s="590"/>
      <c r="M174" s="591">
        <f t="shared" si="61"/>
        <v>614.03</v>
      </c>
      <c r="N174" s="619"/>
      <c r="O174" s="105" t="s">
        <v>306</v>
      </c>
    </row>
    <row r="175" spans="2:15" s="45" customFormat="1">
      <c r="B175" s="732">
        <f>B174+1</f>
        <v>140</v>
      </c>
      <c r="C175" s="734">
        <f>M175+M176+N175+N176</f>
        <v>110.96</v>
      </c>
      <c r="D175" s="735">
        <v>44966</v>
      </c>
      <c r="E175" s="736" t="s">
        <v>519</v>
      </c>
      <c r="F175" s="363" t="s">
        <v>520</v>
      </c>
      <c r="G175" s="733" t="s">
        <v>457</v>
      </c>
      <c r="H175" s="737" t="s">
        <v>674</v>
      </c>
      <c r="I175" s="593">
        <v>57.27</v>
      </c>
      <c r="J175" s="598"/>
      <c r="K175" s="593"/>
      <c r="L175" s="587"/>
      <c r="M175" s="588">
        <f t="shared" ref="M175:M176" si="77">SUM(I175:L175)</f>
        <v>57.27</v>
      </c>
      <c r="N175" s="620"/>
      <c r="O175" s="364" t="s">
        <v>306</v>
      </c>
    </row>
    <row r="176" spans="2:15" s="45" customFormat="1">
      <c r="B176" s="732"/>
      <c r="C176" s="734"/>
      <c r="D176" s="735"/>
      <c r="E176" s="736"/>
      <c r="F176" s="365" t="s">
        <v>520</v>
      </c>
      <c r="G176" s="733"/>
      <c r="H176" s="737"/>
      <c r="I176" s="593">
        <v>53.69</v>
      </c>
      <c r="J176" s="598"/>
      <c r="K176" s="593"/>
      <c r="L176" s="587"/>
      <c r="M176" s="588">
        <f t="shared" si="77"/>
        <v>53.69</v>
      </c>
      <c r="N176" s="620"/>
      <c r="O176" s="364" t="s">
        <v>521</v>
      </c>
    </row>
    <row r="177" spans="2:15" s="45" customFormat="1">
      <c r="B177" s="177">
        <f>B175+1</f>
        <v>141</v>
      </c>
      <c r="C177" s="617">
        <f t="shared" ref="C177" si="78">SUM(M177:N177)</f>
        <v>1.99</v>
      </c>
      <c r="D177" s="523">
        <v>44968</v>
      </c>
      <c r="E177" s="552" t="s">
        <v>475</v>
      </c>
      <c r="F177" s="631" t="s">
        <v>582</v>
      </c>
      <c r="G177" s="524" t="s">
        <v>457</v>
      </c>
      <c r="H177" s="525" t="s">
        <v>256</v>
      </c>
      <c r="I177" s="632">
        <v>1.99</v>
      </c>
      <c r="J177" s="592"/>
      <c r="K177" s="589"/>
      <c r="L177" s="590"/>
      <c r="M177" s="591">
        <f t="shared" ref="M177" si="79">SUM(I177:L177)</f>
        <v>1.99</v>
      </c>
      <c r="N177" s="619"/>
      <c r="O177" s="179" t="s">
        <v>307</v>
      </c>
    </row>
    <row r="178" spans="2:15">
      <c r="B178" s="128">
        <f>B177+1</f>
        <v>142</v>
      </c>
      <c r="C178" s="618">
        <f t="shared" si="58"/>
        <v>107.74</v>
      </c>
      <c r="D178" s="519">
        <v>44949</v>
      </c>
      <c r="E178" s="24" t="s">
        <v>519</v>
      </c>
      <c r="F178" s="168" t="s">
        <v>465</v>
      </c>
      <c r="G178" s="520" t="s">
        <v>457</v>
      </c>
      <c r="H178" s="626" t="s">
        <v>466</v>
      </c>
      <c r="I178" s="602"/>
      <c r="J178" s="587">
        <v>102.61</v>
      </c>
      <c r="K178" s="587"/>
      <c r="L178" s="587"/>
      <c r="M178" s="588">
        <f t="shared" si="61"/>
        <v>102.61</v>
      </c>
      <c r="N178" s="620">
        <v>5.13</v>
      </c>
      <c r="O178" s="70" t="s">
        <v>310</v>
      </c>
    </row>
    <row r="179" spans="2:15">
      <c r="B179" s="177">
        <f t="shared" si="65"/>
        <v>143</v>
      </c>
      <c r="C179" s="617">
        <f t="shared" si="58"/>
        <v>11.27</v>
      </c>
      <c r="D179" s="523">
        <v>44978</v>
      </c>
      <c r="E179" s="525" t="s">
        <v>469</v>
      </c>
      <c r="F179" s="161" t="s">
        <v>675</v>
      </c>
      <c r="G179" s="524" t="s">
        <v>457</v>
      </c>
      <c r="H179" s="581" t="s">
        <v>492</v>
      </c>
      <c r="I179" s="599"/>
      <c r="J179" s="590">
        <v>9.39</v>
      </c>
      <c r="K179" s="590"/>
      <c r="L179" s="590"/>
      <c r="M179" s="591">
        <f t="shared" si="61"/>
        <v>9.39</v>
      </c>
      <c r="N179" s="619">
        <v>1.88</v>
      </c>
      <c r="O179" s="105" t="s">
        <v>317</v>
      </c>
    </row>
    <row r="180" spans="2:15">
      <c r="B180" s="128">
        <f t="shared" si="65"/>
        <v>144</v>
      </c>
      <c r="C180" s="618">
        <f t="shared" si="58"/>
        <v>408.77</v>
      </c>
      <c r="D180" s="519">
        <v>44978</v>
      </c>
      <c r="E180" s="24" t="s">
        <v>469</v>
      </c>
      <c r="F180" s="168" t="s">
        <v>676</v>
      </c>
      <c r="G180" s="520" t="s">
        <v>457</v>
      </c>
      <c r="H180" s="626" t="s">
        <v>677</v>
      </c>
      <c r="I180" s="602"/>
      <c r="J180" s="587">
        <v>408.77</v>
      </c>
      <c r="K180" s="587"/>
      <c r="L180" s="587"/>
      <c r="M180" s="588">
        <f t="shared" si="61"/>
        <v>408.77</v>
      </c>
      <c r="N180" s="620"/>
      <c r="O180" s="70" t="s">
        <v>345</v>
      </c>
    </row>
    <row r="181" spans="2:15">
      <c r="B181" s="177">
        <f t="shared" si="65"/>
        <v>145</v>
      </c>
      <c r="C181" s="617">
        <f ca="1">SUM(M181:N181)</f>
        <v>479.89</v>
      </c>
      <c r="D181" s="523">
        <v>44978</v>
      </c>
      <c r="E181" s="525" t="s">
        <v>254</v>
      </c>
      <c r="F181" s="161" t="s">
        <v>680</v>
      </c>
      <c r="G181" s="524" t="s">
        <v>457</v>
      </c>
      <c r="H181" s="581" t="s">
        <v>466</v>
      </c>
      <c r="I181" s="599"/>
      <c r="J181" s="590">
        <v>457.13</v>
      </c>
      <c r="K181" s="590"/>
      <c r="L181" s="599"/>
      <c r="M181" s="591">
        <f ca="1">SUM(I181:N181)</f>
        <v>479.89</v>
      </c>
      <c r="N181" s="590">
        <v>22.76</v>
      </c>
      <c r="O181" s="105" t="s">
        <v>345</v>
      </c>
    </row>
    <row r="182" spans="2:15">
      <c r="B182" s="128">
        <f>B181+1</f>
        <v>146</v>
      </c>
      <c r="C182" s="618">
        <f t="shared" si="58"/>
        <v>614.03</v>
      </c>
      <c r="D182" s="519">
        <v>44985</v>
      </c>
      <c r="E182" s="24" t="s">
        <v>507</v>
      </c>
      <c r="F182" s="168" t="s">
        <v>508</v>
      </c>
      <c r="G182" s="520" t="s">
        <v>457</v>
      </c>
      <c r="H182" s="24" t="s">
        <v>509</v>
      </c>
      <c r="I182" s="602">
        <v>614.03</v>
      </c>
      <c r="J182" s="587"/>
      <c r="K182" s="587"/>
      <c r="L182" s="587"/>
      <c r="M182" s="588">
        <f t="shared" si="61"/>
        <v>614.03</v>
      </c>
      <c r="N182" s="620"/>
      <c r="O182" s="70" t="s">
        <v>306</v>
      </c>
    </row>
    <row r="183" spans="2:15" s="45" customFormat="1">
      <c r="B183" s="729">
        <f>B182+1</f>
        <v>147</v>
      </c>
      <c r="C183" s="730">
        <f>M183+M184+N183+N184</f>
        <v>110.96</v>
      </c>
      <c r="D183" s="731">
        <v>44994</v>
      </c>
      <c r="E183" s="726" t="s">
        <v>519</v>
      </c>
      <c r="F183" s="634" t="s">
        <v>520</v>
      </c>
      <c r="G183" s="727" t="s">
        <v>457</v>
      </c>
      <c r="H183" s="728" t="s">
        <v>674</v>
      </c>
      <c r="I183" s="637">
        <v>57.27</v>
      </c>
      <c r="J183" s="638"/>
      <c r="K183" s="637"/>
      <c r="L183" s="639"/>
      <c r="M183" s="640">
        <f t="shared" ref="M183:M184" si="80">SUM(I183:L183)</f>
        <v>57.27</v>
      </c>
      <c r="N183" s="641"/>
      <c r="O183" s="642" t="s">
        <v>306</v>
      </c>
    </row>
    <row r="184" spans="2:15" s="45" customFormat="1">
      <c r="B184" s="729"/>
      <c r="C184" s="730"/>
      <c r="D184" s="731"/>
      <c r="E184" s="726"/>
      <c r="F184" s="643" t="s">
        <v>520</v>
      </c>
      <c r="G184" s="727"/>
      <c r="H184" s="728"/>
      <c r="I184" s="637">
        <v>53.69</v>
      </c>
      <c r="J184" s="638"/>
      <c r="K184" s="637"/>
      <c r="L184" s="639"/>
      <c r="M184" s="640">
        <f t="shared" si="80"/>
        <v>53.69</v>
      </c>
      <c r="N184" s="641"/>
      <c r="O184" s="642" t="s">
        <v>521</v>
      </c>
    </row>
    <row r="185" spans="2:15">
      <c r="B185" s="128">
        <f>B182+1</f>
        <v>147</v>
      </c>
      <c r="C185" s="618">
        <f t="shared" si="58"/>
        <v>1.99</v>
      </c>
      <c r="D185" s="519">
        <v>44996</v>
      </c>
      <c r="E185" s="24" t="s">
        <v>475</v>
      </c>
      <c r="F185" s="168" t="s">
        <v>582</v>
      </c>
      <c r="G185" s="520" t="s">
        <v>457</v>
      </c>
      <c r="H185" s="24" t="s">
        <v>256</v>
      </c>
      <c r="I185" s="602">
        <v>1.99</v>
      </c>
      <c r="J185" s="587"/>
      <c r="K185" s="587"/>
      <c r="L185" s="587"/>
      <c r="M185" s="588">
        <f t="shared" si="61"/>
        <v>1.99</v>
      </c>
      <c r="N185" s="620"/>
      <c r="O185" s="70" t="s">
        <v>307</v>
      </c>
    </row>
    <row r="186" spans="2:15">
      <c r="B186" s="177">
        <f t="shared" si="65"/>
        <v>148</v>
      </c>
      <c r="C186" s="645">
        <f t="shared" si="58"/>
        <v>57.6</v>
      </c>
      <c r="D186" s="633">
        <v>44996</v>
      </c>
      <c r="E186" s="636" t="s">
        <v>254</v>
      </c>
      <c r="F186" s="646" t="s">
        <v>684</v>
      </c>
      <c r="G186" s="635" t="s">
        <v>457</v>
      </c>
      <c r="H186" s="636" t="s">
        <v>685</v>
      </c>
      <c r="I186" s="647">
        <v>48</v>
      </c>
      <c r="J186" s="639"/>
      <c r="K186" s="639"/>
      <c r="L186" s="639"/>
      <c r="M186" s="640">
        <f t="shared" si="61"/>
        <v>48</v>
      </c>
      <c r="N186" s="641">
        <v>9.6</v>
      </c>
      <c r="O186" s="644" t="s">
        <v>322</v>
      </c>
    </row>
    <row r="187" spans="2:15">
      <c r="B187" s="128">
        <f>B186+1</f>
        <v>149</v>
      </c>
      <c r="C187" s="618">
        <f t="shared" si="58"/>
        <v>110</v>
      </c>
      <c r="D187" s="519">
        <v>45002</v>
      </c>
      <c r="E187" s="24" t="s">
        <v>469</v>
      </c>
      <c r="F187" s="575" t="s">
        <v>591</v>
      </c>
      <c r="G187" s="520" t="s">
        <v>457</v>
      </c>
      <c r="H187" s="24" t="s">
        <v>530</v>
      </c>
      <c r="I187" s="602"/>
      <c r="J187" s="587">
        <v>110</v>
      </c>
      <c r="K187" s="587"/>
      <c r="L187" s="587"/>
      <c r="M187" s="588">
        <f t="shared" ref="M187:M203" si="81">SUM(I187:L187)</f>
        <v>110</v>
      </c>
      <c r="N187" s="620"/>
      <c r="O187" s="70" t="s">
        <v>312</v>
      </c>
    </row>
    <row r="188" spans="2:15">
      <c r="B188" s="729">
        <f t="shared" si="65"/>
        <v>150</v>
      </c>
      <c r="C188" s="730">
        <f>M188+M189</f>
        <v>689.96</v>
      </c>
      <c r="D188" s="731">
        <v>45002</v>
      </c>
      <c r="E188" s="728" t="s">
        <v>469</v>
      </c>
      <c r="F188" s="646" t="s">
        <v>693</v>
      </c>
      <c r="G188" s="727" t="s">
        <v>457</v>
      </c>
      <c r="H188" s="728" t="s">
        <v>509</v>
      </c>
      <c r="I188" s="647">
        <f>85.56+127.49</f>
        <v>213.05</v>
      </c>
      <c r="J188" s="639"/>
      <c r="K188" s="639"/>
      <c r="L188" s="639"/>
      <c r="M188" s="640">
        <f t="shared" si="81"/>
        <v>213.05</v>
      </c>
      <c r="N188" s="641"/>
      <c r="O188" s="644" t="s">
        <v>307</v>
      </c>
    </row>
    <row r="189" spans="2:15">
      <c r="B189" s="729"/>
      <c r="C189" s="730"/>
      <c r="D189" s="731"/>
      <c r="E189" s="728"/>
      <c r="F189" s="646" t="s">
        <v>694</v>
      </c>
      <c r="G189" s="727"/>
      <c r="H189" s="728"/>
      <c r="I189" s="647">
        <v>476.91</v>
      </c>
      <c r="J189" s="639"/>
      <c r="K189" s="639"/>
      <c r="L189" s="639"/>
      <c r="M189" s="640">
        <f t="shared" si="81"/>
        <v>476.91</v>
      </c>
      <c r="N189" s="641"/>
      <c r="O189" s="644" t="s">
        <v>306</v>
      </c>
    </row>
    <row r="190" spans="2:15">
      <c r="B190" s="128">
        <f>B188+1</f>
        <v>151</v>
      </c>
      <c r="C190" s="618">
        <f t="shared" si="58"/>
        <v>2160</v>
      </c>
      <c r="D190" s="519">
        <v>45002</v>
      </c>
      <c r="E190" s="24" t="s">
        <v>469</v>
      </c>
      <c r="F190" s="575" t="s">
        <v>695</v>
      </c>
      <c r="G190" s="520" t="s">
        <v>457</v>
      </c>
      <c r="H190" s="24" t="s">
        <v>696</v>
      </c>
      <c r="I190" s="602"/>
      <c r="J190" s="587">
        <v>1800</v>
      </c>
      <c r="K190" s="587"/>
      <c r="L190" s="587"/>
      <c r="M190" s="588">
        <f t="shared" si="81"/>
        <v>1800</v>
      </c>
      <c r="N190" s="620">
        <f>M190*20%</f>
        <v>360</v>
      </c>
      <c r="O190" s="70" t="s">
        <v>318</v>
      </c>
    </row>
    <row r="191" spans="2:15">
      <c r="B191" s="648">
        <f t="shared" si="65"/>
        <v>152</v>
      </c>
      <c r="C191" s="645">
        <f t="shared" si="58"/>
        <v>354</v>
      </c>
      <c r="D191" s="633">
        <v>45002</v>
      </c>
      <c r="E191" s="636" t="s">
        <v>469</v>
      </c>
      <c r="F191" s="646" t="s">
        <v>697</v>
      </c>
      <c r="G191" s="635" t="s">
        <v>457</v>
      </c>
      <c r="H191" s="636" t="s">
        <v>698</v>
      </c>
      <c r="I191" s="647"/>
      <c r="J191" s="639">
        <v>295</v>
      </c>
      <c r="K191" s="639"/>
      <c r="L191" s="639"/>
      <c r="M191" s="640">
        <f t="shared" si="81"/>
        <v>295</v>
      </c>
      <c r="N191" s="641">
        <f>M191*20%</f>
        <v>59</v>
      </c>
      <c r="O191" s="644" t="s">
        <v>345</v>
      </c>
    </row>
    <row r="192" spans="2:15">
      <c r="B192" s="128">
        <f>B191+1</f>
        <v>153</v>
      </c>
      <c r="C192" s="618">
        <f t="shared" si="58"/>
        <v>158.69</v>
      </c>
      <c r="D192" s="519">
        <v>45002</v>
      </c>
      <c r="E192" s="24" t="s">
        <v>469</v>
      </c>
      <c r="F192" s="168" t="s">
        <v>699</v>
      </c>
      <c r="G192" s="520" t="s">
        <v>457</v>
      </c>
      <c r="H192" s="24" t="s">
        <v>700</v>
      </c>
      <c r="I192" s="602"/>
      <c r="J192" s="587">
        <v>158.69</v>
      </c>
      <c r="K192" s="587"/>
      <c r="L192" s="587"/>
      <c r="M192" s="588">
        <f t="shared" si="81"/>
        <v>158.69</v>
      </c>
      <c r="N192" s="620"/>
      <c r="O192" s="70" t="s">
        <v>317</v>
      </c>
    </row>
    <row r="193" spans="2:15">
      <c r="B193" s="729">
        <f t="shared" si="65"/>
        <v>154</v>
      </c>
      <c r="C193" s="730">
        <f>M193+M194</f>
        <v>527</v>
      </c>
      <c r="D193" s="731">
        <v>45002</v>
      </c>
      <c r="E193" s="728" t="s">
        <v>469</v>
      </c>
      <c r="F193" s="646" t="s">
        <v>701</v>
      </c>
      <c r="G193" s="727" t="s">
        <v>457</v>
      </c>
      <c r="H193" s="728" t="s">
        <v>630</v>
      </c>
      <c r="I193" s="647">
        <v>187</v>
      </c>
      <c r="J193" s="639"/>
      <c r="K193" s="639"/>
      <c r="L193" s="639"/>
      <c r="M193" s="640">
        <f t="shared" ref="M193:M194" si="82">SUM(I193:L193)</f>
        <v>187</v>
      </c>
      <c r="N193" s="641"/>
      <c r="O193" s="644" t="s">
        <v>315</v>
      </c>
    </row>
    <row r="194" spans="2:15">
      <c r="B194" s="729"/>
      <c r="C194" s="730"/>
      <c r="D194" s="731"/>
      <c r="E194" s="728"/>
      <c r="F194" s="646" t="s">
        <v>10</v>
      </c>
      <c r="G194" s="727"/>
      <c r="H194" s="728"/>
      <c r="I194" s="647"/>
      <c r="J194" s="639">
        <f>20*17</f>
        <v>340</v>
      </c>
      <c r="K194" s="639"/>
      <c r="L194" s="639"/>
      <c r="M194" s="640">
        <f t="shared" si="82"/>
        <v>340</v>
      </c>
      <c r="N194" s="641"/>
      <c r="O194" s="644" t="s">
        <v>345</v>
      </c>
    </row>
    <row r="195" spans="2:15">
      <c r="B195" s="128">
        <f>B193+1</f>
        <v>155</v>
      </c>
      <c r="C195" s="587">
        <f t="shared" si="58"/>
        <v>-354.79</v>
      </c>
      <c r="D195" s="519">
        <v>45002</v>
      </c>
      <c r="E195" s="24" t="s">
        <v>519</v>
      </c>
      <c r="F195" s="575" t="s">
        <v>465</v>
      </c>
      <c r="G195" s="520" t="s">
        <v>457</v>
      </c>
      <c r="H195" s="24" t="s">
        <v>466</v>
      </c>
      <c r="I195" s="602"/>
      <c r="J195" s="587">
        <v>-337.9</v>
      </c>
      <c r="K195" s="587"/>
      <c r="L195" s="587"/>
      <c r="M195" s="588">
        <f t="shared" si="81"/>
        <v>-337.9</v>
      </c>
      <c r="N195" s="588">
        <v>-16.89</v>
      </c>
      <c r="O195" s="70" t="s">
        <v>310</v>
      </c>
    </row>
    <row r="196" spans="2:15">
      <c r="B196" s="128">
        <f t="shared" si="65"/>
        <v>156</v>
      </c>
      <c r="C196" s="618">
        <f t="shared" si="58"/>
        <v>61.46</v>
      </c>
      <c r="D196" s="519">
        <v>45003</v>
      </c>
      <c r="E196" s="24" t="s">
        <v>254</v>
      </c>
      <c r="F196" s="575" t="s">
        <v>704</v>
      </c>
      <c r="G196" s="520" t="s">
        <v>457</v>
      </c>
      <c r="H196" s="24" t="s">
        <v>692</v>
      </c>
      <c r="I196" s="602"/>
      <c r="J196" s="587">
        <v>61.46</v>
      </c>
      <c r="K196" s="587"/>
      <c r="L196" s="587"/>
      <c r="M196" s="588">
        <f t="shared" si="81"/>
        <v>61.46</v>
      </c>
      <c r="N196" s="620"/>
      <c r="O196" s="70" t="s">
        <v>312</v>
      </c>
    </row>
    <row r="197" spans="2:15">
      <c r="B197" s="128">
        <f t="shared" si="65"/>
        <v>157</v>
      </c>
      <c r="C197" s="618">
        <f t="shared" ref="C197:C199" si="83">SUM(M197:N197)</f>
        <v>141.69</v>
      </c>
      <c r="D197" s="519">
        <v>45004</v>
      </c>
      <c r="E197" s="24" t="s">
        <v>254</v>
      </c>
      <c r="F197" s="575" t="s">
        <v>703</v>
      </c>
      <c r="G197" s="520" t="s">
        <v>457</v>
      </c>
      <c r="H197" s="24" t="s">
        <v>702</v>
      </c>
      <c r="I197" s="602"/>
      <c r="J197" s="587">
        <v>118.07</v>
      </c>
      <c r="K197" s="587"/>
      <c r="L197" s="587"/>
      <c r="M197" s="588">
        <f t="shared" ref="M197:M199" si="84">SUM(I197:L197)</f>
        <v>118.07</v>
      </c>
      <c r="N197" s="620">
        <v>23.62</v>
      </c>
      <c r="O197" s="70" t="s">
        <v>312</v>
      </c>
    </row>
    <row r="198" spans="2:15">
      <c r="B198" s="128">
        <f>B197+1</f>
        <v>158</v>
      </c>
      <c r="C198" s="587">
        <f t="shared" si="83"/>
        <v>-61.46</v>
      </c>
      <c r="D198" s="519">
        <v>45003</v>
      </c>
      <c r="E198" s="24" t="s">
        <v>640</v>
      </c>
      <c r="F198" s="575" t="s">
        <v>704</v>
      </c>
      <c r="G198" s="520" t="s">
        <v>457</v>
      </c>
      <c r="H198" s="24" t="s">
        <v>692</v>
      </c>
      <c r="I198" s="602"/>
      <c r="J198" s="587">
        <v>-61.46</v>
      </c>
      <c r="K198" s="587"/>
      <c r="L198" s="587"/>
      <c r="M198" s="588">
        <f t="shared" si="84"/>
        <v>-61.46</v>
      </c>
      <c r="N198" s="620"/>
      <c r="O198" s="70" t="s">
        <v>312</v>
      </c>
    </row>
    <row r="199" spans="2:15">
      <c r="B199" s="128">
        <f t="shared" si="65"/>
        <v>159</v>
      </c>
      <c r="C199" s="618">
        <f t="shared" si="83"/>
        <v>614.03</v>
      </c>
      <c r="D199" s="519">
        <v>45016</v>
      </c>
      <c r="E199" s="24" t="s">
        <v>507</v>
      </c>
      <c r="F199" s="168" t="s">
        <v>508</v>
      </c>
      <c r="G199" s="520" t="s">
        <v>457</v>
      </c>
      <c r="H199" s="24" t="s">
        <v>509</v>
      </c>
      <c r="I199" s="602">
        <v>614.03</v>
      </c>
      <c r="J199" s="587"/>
      <c r="K199" s="587"/>
      <c r="L199" s="587"/>
      <c r="M199" s="588">
        <f t="shared" si="84"/>
        <v>614.03</v>
      </c>
      <c r="N199" s="620"/>
      <c r="O199" s="70" t="s">
        <v>306</v>
      </c>
    </row>
    <row r="200" spans="2:15" s="45" customFormat="1">
      <c r="B200" s="729">
        <f>B199+1</f>
        <v>160</v>
      </c>
      <c r="C200" s="730">
        <f>M200+M201+N200+N201</f>
        <v>110.96</v>
      </c>
      <c r="D200" s="731">
        <v>45016</v>
      </c>
      <c r="E200" s="726" t="s">
        <v>519</v>
      </c>
      <c r="F200" s="634" t="s">
        <v>520</v>
      </c>
      <c r="G200" s="727" t="s">
        <v>457</v>
      </c>
      <c r="H200" s="728" t="s">
        <v>674</v>
      </c>
      <c r="I200" s="637">
        <v>57.27</v>
      </c>
      <c r="J200" s="638"/>
      <c r="K200" s="637"/>
      <c r="L200" s="639"/>
      <c r="M200" s="640">
        <f t="shared" ref="M200:M201" si="85">SUM(I200:L200)</f>
        <v>57.27</v>
      </c>
      <c r="N200" s="641"/>
      <c r="O200" s="642" t="s">
        <v>306</v>
      </c>
    </row>
    <row r="201" spans="2:15" s="45" customFormat="1">
      <c r="B201" s="729"/>
      <c r="C201" s="730"/>
      <c r="D201" s="731"/>
      <c r="E201" s="726"/>
      <c r="F201" s="643" t="s">
        <v>520</v>
      </c>
      <c r="G201" s="727"/>
      <c r="H201" s="728"/>
      <c r="I201" s="637">
        <v>53.69</v>
      </c>
      <c r="J201" s="638"/>
      <c r="K201" s="637"/>
      <c r="L201" s="639"/>
      <c r="M201" s="640">
        <f t="shared" si="85"/>
        <v>53.69</v>
      </c>
      <c r="N201" s="641"/>
      <c r="O201" s="642" t="s">
        <v>521</v>
      </c>
    </row>
    <row r="202" spans="2:15">
      <c r="B202" s="128">
        <f>B200+1</f>
        <v>161</v>
      </c>
      <c r="C202" s="618">
        <f t="shared" ref="C202" si="86">SUM(M202:N202)</f>
        <v>18</v>
      </c>
      <c r="D202" s="519">
        <v>45016</v>
      </c>
      <c r="E202" s="24" t="s">
        <v>475</v>
      </c>
      <c r="F202" s="168" t="s">
        <v>582</v>
      </c>
      <c r="G202" s="520" t="s">
        <v>457</v>
      </c>
      <c r="H202" s="24" t="s">
        <v>581</v>
      </c>
      <c r="I202" s="602">
        <v>18</v>
      </c>
      <c r="J202" s="587"/>
      <c r="K202" s="587"/>
      <c r="L202" s="587"/>
      <c r="M202" s="588">
        <f t="shared" ref="M202" si="87">SUM(I202:L202)</f>
        <v>18</v>
      </c>
      <c r="N202" s="620"/>
      <c r="O202" s="70" t="s">
        <v>307</v>
      </c>
    </row>
    <row r="203" spans="2:15">
      <c r="B203" s="128">
        <f t="shared" si="65"/>
        <v>162</v>
      </c>
      <c r="C203" s="618">
        <f t="shared" si="58"/>
        <v>0</v>
      </c>
      <c r="D203" s="519"/>
      <c r="E203" s="31"/>
      <c r="F203" s="140"/>
      <c r="G203" s="355"/>
      <c r="H203" s="24"/>
      <c r="I203" s="593"/>
      <c r="J203" s="593"/>
      <c r="K203" s="587"/>
      <c r="L203" s="587"/>
      <c r="M203" s="588">
        <f t="shared" si="81"/>
        <v>0</v>
      </c>
      <c r="N203" s="620"/>
      <c r="O203" s="70"/>
    </row>
    <row r="204" spans="2:15" ht="15.75" thickBot="1">
      <c r="C204" s="100">
        <f ca="1">SUM(C2:C203)</f>
        <v>73640.61</v>
      </c>
      <c r="D204" s="101"/>
      <c r="E204" s="114"/>
      <c r="F204" s="114" t="s">
        <v>7</v>
      </c>
      <c r="G204" s="356"/>
      <c r="H204" s="100"/>
      <c r="I204" s="100">
        <f>SUM(I1:I203)</f>
        <v>14179.86</v>
      </c>
      <c r="J204" s="100">
        <f>SUM(J1:J203)</f>
        <v>53972.65</v>
      </c>
      <c r="K204" s="100">
        <f>SUM(K1:K203)</f>
        <v>0</v>
      </c>
      <c r="L204" s="100">
        <f>SUM(L1:L203)</f>
        <v>523.98</v>
      </c>
      <c r="M204" s="100">
        <f>SUM(I204:L204)</f>
        <v>68676.490000000005</v>
      </c>
      <c r="N204" s="100">
        <f>SUM(N1:N203)</f>
        <v>4964.12</v>
      </c>
      <c r="O204" s="38"/>
    </row>
    <row r="205" spans="2:15" ht="15.75" thickTop="1">
      <c r="C205" s="38"/>
      <c r="D205" s="102"/>
      <c r="E205" s="115"/>
      <c r="F205" s="115"/>
      <c r="G205" s="357"/>
      <c r="H205" s="103"/>
      <c r="I205" s="38"/>
      <c r="J205" s="38"/>
      <c r="K205" s="103"/>
      <c r="L205" s="103"/>
      <c r="M205" s="38">
        <f>M204+N204</f>
        <v>73640.61</v>
      </c>
      <c r="N205" s="38" t="e">
        <f>M204-#REF!</f>
        <v>#REF!</v>
      </c>
    </row>
    <row r="206" spans="2:15">
      <c r="C206" s="38"/>
      <c r="D206" s="102"/>
      <c r="E206" s="115"/>
      <c r="F206" s="115"/>
      <c r="G206" s="357"/>
      <c r="H206" s="38"/>
      <c r="I206" s="38"/>
      <c r="J206" s="38"/>
      <c r="K206" s="38"/>
      <c r="L206" s="38"/>
      <c r="M206" s="38">
        <f ca="1">C204-M205</f>
        <v>0</v>
      </c>
      <c r="N206" s="38">
        <f ca="1">N205-M206</f>
        <v>11042.13</v>
      </c>
    </row>
    <row r="207" spans="2:15">
      <c r="H207" s="46"/>
      <c r="I207" s="111"/>
    </row>
    <row r="208" spans="2:15">
      <c r="H208" s="46"/>
    </row>
    <row r="209" spans="8:8">
      <c r="H209" s="104"/>
    </row>
    <row r="210" spans="8:8">
      <c r="H210" s="104"/>
    </row>
    <row r="211" spans="8:8">
      <c r="H211" s="104"/>
    </row>
  </sheetData>
  <sheetProtection algorithmName="SHA-512" hashValue="RL+RKDAaZjJn1a1ksAfTgxvhRFMakV6JBD24g1ZYIaYavlAR0GvLYnq80so4skEDv5aPFrgsXrzTdAsHqHHp7g==" saltValue="4O7Nsf2yNqkct+Ueh9diew==" spinCount="100000" sheet="1" selectLockedCells="1"/>
  <mergeCells count="122">
    <mergeCell ref="G140:G142"/>
    <mergeCell ref="H140:H142"/>
    <mergeCell ref="C140:C142"/>
    <mergeCell ref="H169:H170"/>
    <mergeCell ref="B175:B176"/>
    <mergeCell ref="C175:C176"/>
    <mergeCell ref="D175:D176"/>
    <mergeCell ref="E175:E176"/>
    <mergeCell ref="G175:G176"/>
    <mergeCell ref="H175:H176"/>
    <mergeCell ref="B169:B170"/>
    <mergeCell ref="C169:C170"/>
    <mergeCell ref="D169:D170"/>
    <mergeCell ref="E169:E170"/>
    <mergeCell ref="G169:G170"/>
    <mergeCell ref="B140:B142"/>
    <mergeCell ref="G119:G120"/>
    <mergeCell ref="H119:H120"/>
    <mergeCell ref="H129:H130"/>
    <mergeCell ref="C122:C123"/>
    <mergeCell ref="D122:D123"/>
    <mergeCell ref="E122:E123"/>
    <mergeCell ref="G122:G123"/>
    <mergeCell ref="H122:H123"/>
    <mergeCell ref="C129:C130"/>
    <mergeCell ref="D129:D130"/>
    <mergeCell ref="E129:E130"/>
    <mergeCell ref="G129:G130"/>
    <mergeCell ref="N102:N103"/>
    <mergeCell ref="H102:H103"/>
    <mergeCell ref="D102:D103"/>
    <mergeCell ref="E102:E103"/>
    <mergeCell ref="G102:G103"/>
    <mergeCell ref="H73:H74"/>
    <mergeCell ref="G73:G74"/>
    <mergeCell ref="D94:D95"/>
    <mergeCell ref="E94:E95"/>
    <mergeCell ref="G94:G95"/>
    <mergeCell ref="E83:E84"/>
    <mergeCell ref="D73:D74"/>
    <mergeCell ref="E73:E74"/>
    <mergeCell ref="F73:F74"/>
    <mergeCell ref="H17:H26"/>
    <mergeCell ref="G17:G26"/>
    <mergeCell ref="B119:B120"/>
    <mergeCell ref="B122:B123"/>
    <mergeCell ref="H69:H70"/>
    <mergeCell ref="B69:B70"/>
    <mergeCell ref="C69:C70"/>
    <mergeCell ref="D69:D70"/>
    <mergeCell ref="E69:E70"/>
    <mergeCell ref="G69:G70"/>
    <mergeCell ref="C94:C95"/>
    <mergeCell ref="H94:H95"/>
    <mergeCell ref="G83:G84"/>
    <mergeCell ref="H83:H84"/>
    <mergeCell ref="C83:C84"/>
    <mergeCell ref="D83:D84"/>
    <mergeCell ref="H36:H37"/>
    <mergeCell ref="B36:B37"/>
    <mergeCell ref="C36:C37"/>
    <mergeCell ref="D36:D37"/>
    <mergeCell ref="E36:E37"/>
    <mergeCell ref="G36:G37"/>
    <mergeCell ref="G111:G112"/>
    <mergeCell ref="H111:H112"/>
    <mergeCell ref="B17:B26"/>
    <mergeCell ref="C17:C26"/>
    <mergeCell ref="D17:D26"/>
    <mergeCell ref="E17:E26"/>
    <mergeCell ref="C73:C74"/>
    <mergeCell ref="B94:B95"/>
    <mergeCell ref="B73:B74"/>
    <mergeCell ref="B83:B84"/>
    <mergeCell ref="B111:B112"/>
    <mergeCell ref="C111:C112"/>
    <mergeCell ref="C102:C103"/>
    <mergeCell ref="B102:B103"/>
    <mergeCell ref="D111:D112"/>
    <mergeCell ref="E111:E112"/>
    <mergeCell ref="B129:B130"/>
    <mergeCell ref="C119:C120"/>
    <mergeCell ref="D119:D120"/>
    <mergeCell ref="E119:E120"/>
    <mergeCell ref="D140:D142"/>
    <mergeCell ref="E140:E142"/>
    <mergeCell ref="B183:B184"/>
    <mergeCell ref="C183:C184"/>
    <mergeCell ref="D183:D184"/>
    <mergeCell ref="E183:E184"/>
    <mergeCell ref="G183:G184"/>
    <mergeCell ref="H183:H184"/>
    <mergeCell ref="B155:B156"/>
    <mergeCell ref="G155:G156"/>
    <mergeCell ref="B152:B153"/>
    <mergeCell ref="C152:C153"/>
    <mergeCell ref="D152:D153"/>
    <mergeCell ref="E152:E153"/>
    <mergeCell ref="G152:G153"/>
    <mergeCell ref="H152:H153"/>
    <mergeCell ref="C155:C156"/>
    <mergeCell ref="D155:D156"/>
    <mergeCell ref="E155:E156"/>
    <mergeCell ref="H155:H156"/>
    <mergeCell ref="E200:E201"/>
    <mergeCell ref="G200:G201"/>
    <mergeCell ref="H200:H201"/>
    <mergeCell ref="B193:B194"/>
    <mergeCell ref="B188:B189"/>
    <mergeCell ref="B200:B201"/>
    <mergeCell ref="C200:C201"/>
    <mergeCell ref="D200:D201"/>
    <mergeCell ref="C193:C194"/>
    <mergeCell ref="D193:D194"/>
    <mergeCell ref="E193:E194"/>
    <mergeCell ref="G193:G194"/>
    <mergeCell ref="H193:H194"/>
    <mergeCell ref="D188:D189"/>
    <mergeCell ref="E188:E189"/>
    <mergeCell ref="G188:G189"/>
    <mergeCell ref="C188:C189"/>
    <mergeCell ref="H188:H189"/>
  </mergeCells>
  <phoneticPr fontId="30" type="noConversion"/>
  <hyperlinks>
    <hyperlink ref="F7" r:id="rId1" xr:uid="{B5269D39-D733-437A-8B87-9926741B992F}"/>
    <hyperlink ref="F6" r:id="rId2" xr:uid="{902C13A1-1425-4BDC-B950-F5C37AB3985C}"/>
    <hyperlink ref="F4" r:id="rId3" xr:uid="{033BDA4A-419F-4724-94BE-4E3CC93FAEC7}"/>
    <hyperlink ref="F11" r:id="rId4" xr:uid="{6A008703-C139-47A7-B943-285BE26424DD}"/>
    <hyperlink ref="F12" r:id="rId5" display="Ecological information" xr:uid="{CCCC9A1C-8F90-4979-9EC8-2D0C9065C4FB}"/>
    <hyperlink ref="F13" r:id="rId6" xr:uid="{9A897842-F8B4-4FFE-A20A-919D946CEDBB}"/>
    <hyperlink ref="F14" r:id="rId7" xr:uid="{DC9761F7-A7FF-45EF-86A7-5E510A53244A}"/>
    <hyperlink ref="F23" r:id="rId8" xr:uid="{F09B8033-59BD-4D05-90FE-27CEBEDE437C}"/>
    <hyperlink ref="F26" r:id="rId9" xr:uid="{08498B5E-4323-42B3-9CC6-501725CB7F7B}"/>
    <hyperlink ref="F24" r:id="rId10" xr:uid="{50C4B588-F898-43FA-8CC5-2725A0E56208}"/>
    <hyperlink ref="F17" r:id="rId11" xr:uid="{D8DCE7B0-20FA-45AB-8AA4-E4F67CC3C232}"/>
    <hyperlink ref="F18" r:id="rId12" xr:uid="{934BAFC4-5C3E-47B9-80E9-894C4E65373F}"/>
    <hyperlink ref="F19" r:id="rId13" xr:uid="{C2035120-2D20-48A2-B225-E5FDA82CE5A8}"/>
    <hyperlink ref="F20" r:id="rId14" xr:uid="{55069A14-A657-409C-9046-09CB70FA1A13}"/>
    <hyperlink ref="F21" r:id="rId15" xr:uid="{A3F5D7BB-99FC-4D77-BDD4-15AB806C0D79}"/>
    <hyperlink ref="F22" r:id="rId16" xr:uid="{D3A12461-FE5D-4F3C-86B6-568A5B7D3787}"/>
    <hyperlink ref="F25" r:id="rId17" xr:uid="{C8E1ED03-B222-4FD7-A3E1-0A2C300A832A}"/>
    <hyperlink ref="F27" r:id="rId18" xr:uid="{AA2B9DB9-B8E4-434A-81A2-8FC1500885DC}"/>
    <hyperlink ref="F28" r:id="rId19" xr:uid="{1F363F5E-2036-43BD-9A9C-1BB3DC7A8CAE}"/>
    <hyperlink ref="F29" r:id="rId20" xr:uid="{9F819D0B-C63F-441D-8D75-C2170AB7BA5B}"/>
    <hyperlink ref="F31" r:id="rId21" xr:uid="{5763C892-40DE-4B58-B713-9A7E07FB4A51}"/>
    <hyperlink ref="F32" r:id="rId22" xr:uid="{89321149-77CE-4A71-9239-8F8F88E78F02}"/>
    <hyperlink ref="F33" r:id="rId23" xr:uid="{E25C01C8-4227-4A2A-8209-FA83CCE756AA}"/>
    <hyperlink ref="H33" r:id="rId24" xr:uid="{FD96D5EB-A62F-42DE-8A64-7552FDCBBA2E}"/>
    <hyperlink ref="F34" r:id="rId25" xr:uid="{8859D3A2-3519-4258-9EBE-45D36EB6C057}"/>
    <hyperlink ref="F35" r:id="rId26" xr:uid="{9EB1DB9F-A398-4A6A-A843-00316972F312}"/>
    <hyperlink ref="F39" r:id="rId27" xr:uid="{0359433E-FCD9-4157-90C2-00E57D302122}"/>
    <hyperlink ref="F40" r:id="rId28" xr:uid="{AFEDC7E7-E761-4C12-BE2E-D0D197B27112}"/>
    <hyperlink ref="F41" r:id="rId29" xr:uid="{AAE8EA1F-543E-48D4-AD34-77C12241DCE0}"/>
    <hyperlink ref="F43" r:id="rId30" xr:uid="{ABEEE89B-3158-4CE1-9482-AABC775520E6}"/>
    <hyperlink ref="F44" r:id="rId31" xr:uid="{DB39FA77-0444-4283-BABB-652B5FFBF5BE}"/>
    <hyperlink ref="F45" r:id="rId32" xr:uid="{922CD4F9-1D41-473B-8394-AEAF9F43FABC}"/>
    <hyperlink ref="F46" r:id="rId33" xr:uid="{14D4E98C-1D43-4CC7-89AC-8A6BEFBD520B}"/>
    <hyperlink ref="F47" r:id="rId34" xr:uid="{206BB631-5601-43E8-A787-272838876094}"/>
    <hyperlink ref="F48" r:id="rId35" xr:uid="{F2E4A9F2-920E-49FD-B195-7618379EFFB9}"/>
    <hyperlink ref="F49" r:id="rId36" xr:uid="{5BD158E0-80CC-409D-8E2F-FEB44931E1B1}"/>
    <hyperlink ref="F50" r:id="rId37" xr:uid="{11FF2AB2-BF07-4D40-8067-C9FD6DB74E93}"/>
    <hyperlink ref="F51" r:id="rId38" xr:uid="{5C40C8E1-474A-4B2C-B1F6-1E837FEF4FB9}"/>
    <hyperlink ref="F52" r:id="rId39" xr:uid="{90CCE7B4-C8F3-4C40-904D-3A806E262BE0}"/>
    <hyperlink ref="F53" r:id="rId40" xr:uid="{54C6107F-1853-46EB-B4EE-EEBC809AAFDA}"/>
    <hyperlink ref="F54" r:id="rId41" xr:uid="{BFB84709-2874-4D78-B333-C968A0C3E0D9}"/>
    <hyperlink ref="F57" r:id="rId42" xr:uid="{F785C612-89A8-4C26-ABBC-121C52B3061C}"/>
    <hyperlink ref="F55" r:id="rId43" xr:uid="{048C1933-8F8F-4363-B602-34F8EA088E6F}"/>
    <hyperlink ref="F56" r:id="rId44" xr:uid="{6C4637BE-AAC7-4357-BDC7-7862A35BF71E}"/>
    <hyperlink ref="F64" r:id="rId45" xr:uid="{0987D9A6-34C7-4AEF-B979-7ED965BFACC8}"/>
    <hyperlink ref="F65" r:id="rId46" xr:uid="{2E828E21-3E49-44A8-A01F-AF997D9CBDBB}"/>
    <hyperlink ref="F67" r:id="rId47" xr:uid="{8E6A4F4F-BDD1-4E78-B19A-B878934265D8}"/>
    <hyperlink ref="F72" r:id="rId48" xr:uid="{F792A5C9-48AD-4E8E-B35F-097F5D499F9B}"/>
    <hyperlink ref="F73:F74" r:id="rId49" display="marquee hire" xr:uid="{C45489FC-DFEC-4705-80C0-0930786933A1}"/>
    <hyperlink ref="F75" r:id="rId50" xr:uid="{80EADF69-5752-4F5F-84E6-1FC1AB5FC3DD}"/>
    <hyperlink ref="F77" r:id="rId51" xr:uid="{8359CD69-F2F8-43FE-805E-9D45766F992F}"/>
    <hyperlink ref="F76" r:id="rId52" xr:uid="{6C062C7E-313B-4715-B49C-EB6B2E2CCAFB}"/>
    <hyperlink ref="F78" r:id="rId53" xr:uid="{FD033C4E-A007-4E85-B949-7560B99B5E12}"/>
    <hyperlink ref="F80" r:id="rId54" xr:uid="{4480A85A-A26B-4EB9-86D6-4CF93200F642}"/>
    <hyperlink ref="F81" r:id="rId55" xr:uid="{E8BB0994-B9D2-47B2-A86C-3ACBEEE6EE01}"/>
    <hyperlink ref="F84" r:id="rId56" xr:uid="{15340239-478F-4495-962C-DE6DAE10084B}"/>
    <hyperlink ref="F83" r:id="rId57" xr:uid="{5BCCA06E-52C0-41A9-B53A-4DD0AA46DB7B}"/>
    <hyperlink ref="F85" r:id="rId58" xr:uid="{A8D5829A-70C2-4880-8D4C-53FA4F85E296}"/>
    <hyperlink ref="F86" r:id="rId59" xr:uid="{D1893ACD-23E2-4176-BBAB-3B4AC11BC773}"/>
    <hyperlink ref="F87" r:id="rId60" xr:uid="{4945A1B1-8245-4801-8083-5211153561CA}"/>
    <hyperlink ref="F89" r:id="rId61" xr:uid="{717ED385-E082-4BB3-942F-817C218C3CE4}"/>
    <hyperlink ref="F90" r:id="rId62" xr:uid="{D3B49048-CBA3-4A7F-93D1-8FD9D778571A}"/>
    <hyperlink ref="F91" r:id="rId63" xr:uid="{19D50AB7-C61B-46D9-9EBC-E6FF15322693}"/>
    <hyperlink ref="F96" r:id="rId64" xr:uid="{145F0408-7E22-4551-AE23-BF7A71D7105B}"/>
    <hyperlink ref="F101" r:id="rId65" xr:uid="{3067BB0F-A167-4FF4-A048-4565E7327102}"/>
    <hyperlink ref="F104" r:id="rId66" xr:uid="{72E7A3C9-321F-46A0-AA34-9A79306D35EC}"/>
    <hyperlink ref="F102:F103" r:id="rId67" display="Membership &amp; GDPR " xr:uid="{23033DBE-B6F4-4E1A-A5E9-6CB51F8B955F}"/>
    <hyperlink ref="F105" r:id="rId68" xr:uid="{6C66EE55-C948-4EE7-8B56-1BDC2DBAF26E}"/>
    <hyperlink ref="F106" r:id="rId69" xr:uid="{24AACF89-497C-4508-BB1E-8EDFDE963E1B}"/>
    <hyperlink ref="F107" r:id="rId70" xr:uid="{9F1C979A-9556-4025-BE13-A14126202F6A}"/>
    <hyperlink ref="F109" r:id="rId71" xr:uid="{4957B9F9-41A9-4E68-88F2-580895A28F1B}"/>
    <hyperlink ref="F114" r:id="rId72" xr:uid="{A00F3FC5-8B3E-45A6-8F3D-A597B406555E}"/>
    <hyperlink ref="F115" r:id="rId73" display="Audi fee" xr:uid="{8CE6351C-3D7B-4353-811C-677A736BACA8}"/>
    <hyperlink ref="F116" r:id="rId74" xr:uid="{FD9D1BA8-528C-4E47-B867-81FBC7D3C63E}"/>
    <hyperlink ref="F118" r:id="rId75" xr:uid="{46701929-8321-4FD6-AFE3-98DE9AEF235F}"/>
    <hyperlink ref="F119:F120" r:id="rId76" display="Membership &amp; GDPR " xr:uid="{BEB7158C-ACED-45E4-9186-4DA869E9E785}"/>
    <hyperlink ref="F119" r:id="rId77" xr:uid="{828A7D7E-3550-470E-B4F8-BAD23D911C79}"/>
    <hyperlink ref="F120" r:id="rId78" xr:uid="{5D7B31C3-0BB8-4ED4-BC8C-99266F5EA7ED}"/>
    <hyperlink ref="F125" r:id="rId79" xr:uid="{7E14E3E4-E692-452C-8537-5156388AF322}"/>
    <hyperlink ref="F98" r:id="rId80" xr:uid="{AD51A2BA-887E-457F-88E7-9686E33821EF}"/>
    <hyperlink ref="F110" r:id="rId81" display="Digger hire" xr:uid="{E258EBE6-A73E-44A3-B3E8-1F5C15CF372D}"/>
    <hyperlink ref="F134" r:id="rId82" xr:uid="{0D0829F6-6EE7-44C6-BEB5-BBC5AD585B31}"/>
    <hyperlink ref="F135" r:id="rId83" xr:uid="{3AD9EAF4-D832-4D82-A813-26838C1E7AFA}"/>
    <hyperlink ref="F136" r:id="rId84" xr:uid="{A295A70C-58A6-419C-99FB-C6C9E203C755}"/>
    <hyperlink ref="F138" r:id="rId85" xr:uid="{8FFC9108-F242-4FF0-9A01-9F9160583738}"/>
    <hyperlink ref="F133" r:id="rId86" xr:uid="{F77C5A50-E361-4C3E-991A-621DD0A89DEA}"/>
    <hyperlink ref="F139" r:id="rId87" xr:uid="{45FE3788-5907-4A36-9432-D53812AE2B75}"/>
    <hyperlink ref="F142" r:id="rId88" xr:uid="{2549FE3D-8A8E-42DB-B38C-FC8A8AFFE151}"/>
    <hyperlink ref="F141" r:id="rId89" xr:uid="{21887569-6FB7-46AA-AC2B-AAC7C0AF05C6}"/>
    <hyperlink ref="F140" r:id="rId90" xr:uid="{D9160E0C-731D-4568-85F3-112D66FA1639}"/>
    <hyperlink ref="F146" r:id="rId91" xr:uid="{4FFB78B0-49BF-4E19-9CF0-A18895528F0C}"/>
    <hyperlink ref="F147" r:id="rId92" xr:uid="{1D7FB066-4FE6-44DB-9A85-8337496707FF}"/>
    <hyperlink ref="F149" r:id="rId93" xr:uid="{FE853266-8AC8-4A8E-B407-0F69CC84982C}"/>
    <hyperlink ref="F150" r:id="rId94" xr:uid="{99241F02-0544-4167-8173-5C3D116839D6}"/>
    <hyperlink ref="F158" r:id="rId95" xr:uid="{220B8865-1C6D-48B9-9275-86BAC0CA7B17}"/>
    <hyperlink ref="F159" r:id="rId96" xr:uid="{FF3876D6-6FC3-4DC5-AFB4-D51A3ED5A620}"/>
    <hyperlink ref="F160" r:id="rId97" xr:uid="{35CB40A1-CAE8-4185-92CB-37464B239448}"/>
    <hyperlink ref="F162" r:id="rId98" xr:uid="{132A984F-914C-4E6E-9DB9-B50579BCD5F2}"/>
    <hyperlink ref="F165" r:id="rId99" xr:uid="{8D6DA255-215C-49E8-AF96-59DD653F6061}"/>
    <hyperlink ref="F166" r:id="rId100" xr:uid="{934A642B-D364-4797-8C8F-B958DEC994EC}"/>
    <hyperlink ref="F164" r:id="rId101" xr:uid="{732FEB1E-84D8-461C-B5D5-E5B9A00632AD}"/>
    <hyperlink ref="F163" r:id="rId102" xr:uid="{11FFB2F4-2C6D-4608-84FC-1EEA6D5BC0D9}"/>
    <hyperlink ref="H172" r:id="rId103" xr:uid="{78B5580E-E3A5-4251-A16C-B82D14A91B8F}"/>
    <hyperlink ref="H178" r:id="rId104" xr:uid="{EE7F94FF-4788-4259-B2DC-7E7324218457}"/>
    <hyperlink ref="H179" r:id="rId105" xr:uid="{4DCB9F5A-3F0B-403B-94F7-D6817D41B2A7}"/>
    <hyperlink ref="H180" r:id="rId106" xr:uid="{52EBC6E8-4C67-4A45-B177-60E145C3CF66}"/>
    <hyperlink ref="H181" location="AED!A1" display="SSE" xr:uid="{5547749F-76AF-4E3F-8D74-9B5C2826E301}"/>
    <hyperlink ref="F187" r:id="rId107" xr:uid="{CE1C5049-5071-4126-B66C-CFBDABF1EBD6}"/>
    <hyperlink ref="F190" r:id="rId108" xr:uid="{B5E57B87-9C4D-489C-842D-26C6D2CB31D2}"/>
    <hyperlink ref="F195" r:id="rId109" xr:uid="{378A2674-D2C1-4DB1-8E51-9276872D1292}"/>
    <hyperlink ref="F196" r:id="rId110" display="Treed guard" xr:uid="{DF6DAB71-AB08-4C06-95BA-790617BA5BA4}"/>
    <hyperlink ref="F197" r:id="rId111" xr:uid="{FA766272-3B1F-4155-AAA0-9FA444E56106}"/>
    <hyperlink ref="F198" r:id="rId112" xr:uid="{A9139A91-E19F-42CF-8DD6-3B7B99EFBA9A}"/>
  </hyperlinks>
  <printOptions horizontalCentered="1" verticalCentered="1"/>
  <pageMargins left="0" right="0" top="0.78740157480314965" bottom="0.39370078740157483" header="0.51181102362204722" footer="0.51181102362204722"/>
  <pageSetup paperSize="9" scale="76" fitToHeight="0" orientation="landscape" r:id="rId113"/>
  <headerFooter alignWithMargins="0">
    <oddHeader xml:space="preserve">&amp;LNassington Parish Council
Northamptonshire&amp;C&amp;A&amp;RAccounts to y/e 31 March 2021
</oddHeader>
  </headerFooter>
  <drawing r:id="rId114"/>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2EA2D796-D46D-461D-B0B0-6EC0F81E6652}">
          <x14:formula1>
            <xm:f>#REF!</xm:f>
          </x14:formula1>
          <xm:sqref>O3:O4 O6:O27 O29:O37 O39:O44 O46:O87 O89:O203</xm:sqref>
        </x14:dataValidation>
        <x14:dataValidation type="list" allowBlank="1" showInputMessage="1" showErrorMessage="1" xr:uid="{D01CA7B8-E2D1-4663-93E9-7A03F3CBCCDC}">
          <x14:formula1>
            <xm:f>#REF!</xm:f>
          </x14:formula1>
          <xm:sqref>O5 O28 O45 O38 O88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31"/>
  </sheetPr>
  <dimension ref="A1:O36"/>
  <sheetViews>
    <sheetView showGridLines="0" workbookViewId="0">
      <selection activeCell="E20" sqref="E20"/>
    </sheetView>
  </sheetViews>
  <sheetFormatPr defaultColWidth="9.140625" defaultRowHeight="15.75"/>
  <cols>
    <col min="1" max="1" width="15.42578125" style="48" customWidth="1"/>
    <col min="2" max="2" width="46.85546875" style="48" customWidth="1"/>
    <col min="3" max="3" width="15.140625" style="48" customWidth="1"/>
    <col min="4" max="4" width="3" style="48" customWidth="1"/>
    <col min="5" max="5" width="32.42578125" style="48" bestFit="1" customWidth="1"/>
    <col min="6" max="6" width="15.7109375" style="49" bestFit="1" customWidth="1"/>
    <col min="7" max="7" width="13.85546875" style="48" hidden="1" customWidth="1"/>
    <col min="8" max="9" width="11.5703125" style="48" bestFit="1" customWidth="1"/>
    <col min="10" max="10" width="9.42578125" style="48" bestFit="1" customWidth="1"/>
    <col min="11" max="12" width="9.140625" style="48"/>
    <col min="13" max="13" width="11.5703125" style="49" bestFit="1" customWidth="1"/>
    <col min="14" max="14" width="11.5703125" style="48" bestFit="1" customWidth="1"/>
    <col min="15" max="16384" width="9.140625" style="48"/>
  </cols>
  <sheetData>
    <row r="1" spans="1:15" ht="9" customHeight="1"/>
    <row r="2" spans="1:15" ht="14.25" customHeight="1">
      <c r="B2" s="50" t="s">
        <v>46</v>
      </c>
      <c r="C2" s="51">
        <f>F4</f>
        <v>45016</v>
      </c>
      <c r="D2" s="58"/>
      <c r="E2" s="52" t="s">
        <v>372</v>
      </c>
    </row>
    <row r="4" spans="1:15">
      <c r="A4" s="53" t="s">
        <v>16</v>
      </c>
      <c r="B4" s="53" t="s">
        <v>11</v>
      </c>
      <c r="C4" s="54"/>
      <c r="E4" s="55" t="s">
        <v>47</v>
      </c>
      <c r="F4" s="361">
        <v>45016</v>
      </c>
      <c r="H4" s="125"/>
      <c r="J4" s="106"/>
      <c r="K4" s="124"/>
      <c r="L4" s="83"/>
    </row>
    <row r="5" spans="1:15">
      <c r="A5" s="361">
        <f>C2</f>
        <v>45016</v>
      </c>
      <c r="C5" s="56"/>
      <c r="F5" s="57"/>
      <c r="G5" s="63">
        <f>[6]Balances!$F$6</f>
        <v>2280.29</v>
      </c>
      <c r="H5" s="126"/>
      <c r="J5" s="106"/>
      <c r="K5" s="124"/>
      <c r="L5" s="83"/>
    </row>
    <row r="6" spans="1:15">
      <c r="A6" s="58"/>
      <c r="B6" s="48" t="str">
        <f>+E6</f>
        <v>Current account</v>
      </c>
      <c r="C6" s="57">
        <f>F6</f>
        <v>1821.68</v>
      </c>
      <c r="E6" s="48" t="s">
        <v>250</v>
      </c>
      <c r="F6" s="49">
        <v>1821.68</v>
      </c>
      <c r="G6" s="63" t="e">
        <f>Payments!C63+Payments!C62+Payments!C61+Payments!C60+Payments!C59+Payments!C58+Payments!C57+Payments!C56+Payments!C55+Payments!C54+Payments!#REF!+Payments!C53+Payments!C52+Payments!C49+Payments!C48+Payments!C47+Payments!C46+Payments!C45+Payments!C44</f>
        <v>#REF!</v>
      </c>
      <c r="H6" s="66"/>
      <c r="I6" s="66"/>
      <c r="J6" s="106"/>
      <c r="K6" s="124"/>
      <c r="L6" s="83"/>
      <c r="N6" s="530"/>
      <c r="O6" s="530"/>
    </row>
    <row r="7" spans="1:15">
      <c r="B7" s="59" t="s">
        <v>203</v>
      </c>
      <c r="C7" s="57">
        <f>SUMIF(Payments!G6:G203,"",Payments!C6:C203)</f>
        <v>0</v>
      </c>
      <c r="E7" s="48" t="s">
        <v>52</v>
      </c>
      <c r="F7" s="49">
        <v>24769.01</v>
      </c>
      <c r="G7" s="63" t="e">
        <f>G6+Payments!C50+Payments!C51</f>
        <v>#REF!</v>
      </c>
      <c r="J7" s="106"/>
      <c r="K7" s="124"/>
      <c r="L7" s="83"/>
      <c r="N7" s="530"/>
    </row>
    <row r="8" spans="1:15">
      <c r="B8" s="60" t="s">
        <v>257</v>
      </c>
      <c r="E8" s="48" t="s">
        <v>256</v>
      </c>
      <c r="F8" s="49">
        <f>'PockIt-Petty Cash'!G66</f>
        <v>2.23</v>
      </c>
      <c r="G8" s="63">
        <f>SUM(Payments!C44:C63)</f>
        <v>8190.45</v>
      </c>
      <c r="I8" s="66"/>
      <c r="J8" s="529"/>
      <c r="K8" s="124"/>
      <c r="L8" s="83"/>
      <c r="N8" s="530"/>
    </row>
    <row r="9" spans="1:15">
      <c r="B9" s="48" t="s">
        <v>328</v>
      </c>
      <c r="C9" s="57"/>
      <c r="E9" s="48" t="s">
        <v>327</v>
      </c>
      <c r="F9" s="49">
        <v>86519.84</v>
      </c>
      <c r="G9" s="63" t="e">
        <f>G8-G6</f>
        <v>#REF!</v>
      </c>
      <c r="J9" s="106"/>
      <c r="K9" s="124"/>
      <c r="L9" s="83"/>
    </row>
    <row r="10" spans="1:15" ht="13.5" customHeight="1">
      <c r="E10" s="55" t="s">
        <v>34</v>
      </c>
      <c r="F10" s="57">
        <f>SUM(F6:F9)</f>
        <v>113112.76</v>
      </c>
      <c r="G10" s="63">
        <f>[6]Balances!$F$8-F8</f>
        <v>174.91</v>
      </c>
    </row>
    <row r="11" spans="1:15">
      <c r="B11" s="48" t="s">
        <v>17</v>
      </c>
      <c r="C11" s="61">
        <f>C6-C7-C9+C10+C8</f>
        <v>1821.68</v>
      </c>
      <c r="F11" s="57"/>
      <c r="G11" s="63"/>
    </row>
    <row r="12" spans="1:15" ht="16.5" thickBot="1">
      <c r="B12" s="48" t="str">
        <f>E9</f>
        <v>Nationwide 95 day saver</v>
      </c>
      <c r="C12" s="57">
        <f>F9</f>
        <v>86519.84</v>
      </c>
      <c r="E12" s="48" t="s">
        <v>33</v>
      </c>
      <c r="F12" s="62">
        <f>F10+C8</f>
        <v>113112.76</v>
      </c>
      <c r="G12" s="56"/>
      <c r="J12" s="106"/>
      <c r="K12" s="124"/>
      <c r="L12" s="83"/>
    </row>
    <row r="13" spans="1:15" ht="16.5" thickTop="1">
      <c r="B13" s="48" t="str">
        <f>E7</f>
        <v>Tailored reserve</v>
      </c>
      <c r="C13" s="57">
        <f>F7</f>
        <v>24769.01</v>
      </c>
      <c r="E13" s="48" t="s">
        <v>35</v>
      </c>
      <c r="F13" s="57">
        <f>C9+C7</f>
        <v>0</v>
      </c>
      <c r="G13" s="56"/>
      <c r="J13" s="106"/>
      <c r="K13" s="124"/>
      <c r="L13" s="83"/>
    </row>
    <row r="14" spans="1:15">
      <c r="B14" s="48" t="s">
        <v>255</v>
      </c>
      <c r="C14" s="57">
        <f>'PockIt-Petty Cash'!G66</f>
        <v>2.23</v>
      </c>
      <c r="F14" s="57"/>
      <c r="G14" s="56"/>
      <c r="J14" s="106"/>
      <c r="K14" s="124"/>
      <c r="L14" s="83"/>
    </row>
    <row r="15" spans="1:15" ht="16.5" thickBot="1">
      <c r="A15" s="58"/>
      <c r="B15" s="55" t="s">
        <v>30</v>
      </c>
      <c r="C15" s="62">
        <f>SUM(C11:C14)</f>
        <v>113112.76</v>
      </c>
      <c r="E15" s="55" t="s">
        <v>36</v>
      </c>
      <c r="F15" s="62">
        <f>F12+F14-F13</f>
        <v>113112.76</v>
      </c>
      <c r="G15" s="56"/>
      <c r="J15" s="106"/>
      <c r="K15" s="124"/>
      <c r="L15" s="83"/>
    </row>
    <row r="16" spans="1:15" ht="16.5" thickTop="1">
      <c r="A16" s="58"/>
      <c r="C16" s="57"/>
      <c r="F16" s="57"/>
      <c r="G16" s="56"/>
      <c r="J16" s="106"/>
      <c r="K16" s="124"/>
      <c r="L16" s="83"/>
    </row>
    <row r="17" spans="1:12">
      <c r="A17" s="58"/>
      <c r="B17" s="48" t="s">
        <v>18</v>
      </c>
      <c r="C17" s="57"/>
      <c r="F17" s="68"/>
      <c r="G17" s="69"/>
      <c r="J17" s="106"/>
      <c r="K17" s="124"/>
      <c r="L17" s="83"/>
    </row>
    <row r="18" spans="1:12" ht="16.5" thickBot="1">
      <c r="B18" s="48" t="s">
        <v>19</v>
      </c>
      <c r="C18" s="62">
        <v>113223</v>
      </c>
      <c r="F18" s="57"/>
      <c r="G18" s="57"/>
      <c r="H18" s="57"/>
      <c r="I18" s="64"/>
      <c r="J18" s="106"/>
      <c r="K18" s="124"/>
      <c r="L18" s="83"/>
    </row>
    <row r="19" spans="1:12" ht="16.5" thickTop="1">
      <c r="A19" s="58"/>
      <c r="B19" s="48" t="s">
        <v>20</v>
      </c>
      <c r="C19" s="57">
        <f>+Receipts!M60</f>
        <v>73530.37</v>
      </c>
      <c r="F19" s="57"/>
      <c r="G19" s="57"/>
      <c r="J19" s="106"/>
      <c r="K19" s="124"/>
      <c r="L19" s="83"/>
    </row>
    <row r="20" spans="1:12">
      <c r="B20" s="48" t="s">
        <v>21</v>
      </c>
      <c r="C20" s="57">
        <f ca="1">+Payments!C204</f>
        <v>73640.61</v>
      </c>
      <c r="F20" s="57"/>
      <c r="G20" s="65"/>
      <c r="J20" s="106"/>
      <c r="K20" s="124"/>
      <c r="L20" s="83"/>
    </row>
    <row r="21" spans="1:12" ht="14.25" customHeight="1">
      <c r="C21" s="57"/>
      <c r="F21" s="57"/>
      <c r="G21" s="56"/>
      <c r="J21" s="106"/>
      <c r="K21" s="124"/>
      <c r="L21" s="83"/>
    </row>
    <row r="22" spans="1:12" ht="16.5" thickBot="1">
      <c r="B22" s="55" t="s">
        <v>31</v>
      </c>
      <c r="C22" s="62">
        <f ca="1">C18+C19-C20</f>
        <v>113112.76</v>
      </c>
      <c r="E22" s="66"/>
      <c r="F22" s="57"/>
      <c r="G22" s="56"/>
      <c r="J22" s="106"/>
      <c r="K22" s="124"/>
      <c r="L22" s="83"/>
    </row>
    <row r="23" spans="1:12" ht="16.5" thickTop="1">
      <c r="C23" s="57"/>
      <c r="D23" s="48" t="s">
        <v>27</v>
      </c>
      <c r="E23" s="66"/>
      <c r="F23" s="57"/>
      <c r="G23" s="56"/>
      <c r="J23" s="106"/>
      <c r="K23" s="124"/>
      <c r="L23" s="83"/>
    </row>
    <row r="24" spans="1:12">
      <c r="B24" s="48" t="s">
        <v>39</v>
      </c>
      <c r="C24" s="57">
        <f ca="1">C15-C22</f>
        <v>0</v>
      </c>
      <c r="D24" s="66"/>
      <c r="E24" s="66"/>
      <c r="F24" s="57"/>
      <c r="G24" s="56"/>
      <c r="J24" s="106"/>
      <c r="K24" s="124"/>
      <c r="L24" s="83"/>
    </row>
    <row r="25" spans="1:12">
      <c r="C25" s="57"/>
      <c r="D25" s="66"/>
      <c r="E25" s="66">
        <f>F15-C15</f>
        <v>0</v>
      </c>
      <c r="F25" s="57"/>
      <c r="G25" s="56"/>
      <c r="J25" s="106"/>
      <c r="K25" s="124"/>
      <c r="L25" s="83"/>
    </row>
    <row r="26" spans="1:12">
      <c r="C26" s="49"/>
      <c r="E26" s="66"/>
      <c r="F26" s="57"/>
      <c r="G26" s="63"/>
      <c r="J26" s="106"/>
      <c r="K26" s="124"/>
      <c r="L26" s="83"/>
    </row>
    <row r="27" spans="1:12">
      <c r="C27" s="49"/>
      <c r="F27" s="57"/>
      <c r="G27" s="56"/>
      <c r="J27" s="106"/>
      <c r="K27" s="124"/>
      <c r="L27" s="83"/>
    </row>
    <row r="28" spans="1:12" ht="8.25" customHeight="1">
      <c r="C28" s="49"/>
      <c r="E28" s="66"/>
      <c r="J28" s="106"/>
      <c r="K28" s="124"/>
      <c r="L28" s="83"/>
    </row>
    <row r="29" spans="1:12">
      <c r="C29" s="49"/>
      <c r="D29" s="67"/>
      <c r="J29" s="106"/>
      <c r="K29" s="124"/>
      <c r="L29" s="83"/>
    </row>
    <row r="30" spans="1:12">
      <c r="D30" s="66"/>
      <c r="J30" s="106"/>
      <c r="K30" s="124"/>
      <c r="L30" s="83"/>
    </row>
    <row r="31" spans="1:12">
      <c r="C31" s="66"/>
      <c r="J31" s="106"/>
      <c r="K31" s="124"/>
      <c r="L31" s="83"/>
    </row>
    <row r="32" spans="1:12">
      <c r="J32" s="106"/>
      <c r="K32" s="124"/>
      <c r="L32" s="83"/>
    </row>
    <row r="33" spans="3:14">
      <c r="C33" s="66"/>
      <c r="J33" s="106"/>
      <c r="K33" s="124"/>
      <c r="L33" s="83"/>
    </row>
    <row r="34" spans="3:14">
      <c r="J34" s="106"/>
      <c r="K34" s="124"/>
      <c r="L34" s="83"/>
    </row>
    <row r="35" spans="3:14">
      <c r="J35" s="106"/>
      <c r="K35" s="124"/>
      <c r="L35" s="83"/>
    </row>
    <row r="36" spans="3:14">
      <c r="N36" s="49"/>
    </row>
  </sheetData>
  <sheetProtection algorithmName="SHA-512" hashValue="gn5ExX4yhJVJd9ayW5XrFQqfzEWB+ENPzcs+J3DGMsi/fmSX2Rs1MSgoIzSuvSI73exjc0c7J1PdaUjCuM8MKg==" saltValue="YdhIg2kFX6f8WQAH/sts6A==" spinCount="100000" sheet="1" objects="1" scenarios="1"/>
  <phoneticPr fontId="0" type="noConversion"/>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oddHeader xml:space="preserve">&amp;LNassington Parish Council
Northamptonshire&amp;C
Bank Reconciliation
&amp;RAccounts to y/e 31 Mar 2021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2"/>
  </sheetPr>
  <dimension ref="C2:F19"/>
  <sheetViews>
    <sheetView showGridLines="0" workbookViewId="0">
      <selection activeCell="D29" sqref="D29"/>
    </sheetView>
  </sheetViews>
  <sheetFormatPr defaultColWidth="9.140625" defaultRowHeight="15"/>
  <cols>
    <col min="1" max="2" width="9.140625" style="116"/>
    <col min="3" max="3" width="34.140625" style="116" bestFit="1" customWidth="1"/>
    <col min="4" max="4" width="24.5703125" style="116" bestFit="1" customWidth="1"/>
    <col min="5" max="5" width="12.85546875" style="117" bestFit="1" customWidth="1"/>
    <col min="6" max="6" width="11.5703125" style="116" bestFit="1" customWidth="1"/>
    <col min="7" max="16384" width="9.140625" style="116"/>
  </cols>
  <sheetData>
    <row r="2" spans="3:6">
      <c r="C2" s="116" t="s">
        <v>165</v>
      </c>
      <c r="D2" s="116" t="s">
        <v>166</v>
      </c>
      <c r="E2" s="117">
        <f>Balances!F6</f>
        <v>1821.68</v>
      </c>
    </row>
    <row r="3" spans="3:6">
      <c r="C3" s="116" t="s">
        <v>167</v>
      </c>
      <c r="D3" s="116" t="s">
        <v>168</v>
      </c>
      <c r="E3" s="117">
        <f>Balances!F7</f>
        <v>24769.01</v>
      </c>
    </row>
    <row r="4" spans="3:6">
      <c r="D4" s="116" t="s">
        <v>384</v>
      </c>
      <c r="E4" s="117">
        <f>Balances!F9</f>
        <v>86519.84</v>
      </c>
    </row>
    <row r="5" spans="3:6">
      <c r="D5" s="116" t="s">
        <v>266</v>
      </c>
      <c r="E5" s="117">
        <f>Balances!C14</f>
        <v>2.23</v>
      </c>
    </row>
    <row r="6" spans="3:6" ht="15.75" thickBot="1">
      <c r="E6" s="118">
        <f>SUM(E2:E5)</f>
        <v>113112.76</v>
      </c>
    </row>
    <row r="7" spans="3:6" ht="15.75" thickTop="1"/>
    <row r="8" spans="3:6">
      <c r="C8" s="116" t="s">
        <v>194</v>
      </c>
      <c r="E8" s="117">
        <f>Balances!C7</f>
        <v>0</v>
      </c>
    </row>
    <row r="9" spans="3:6">
      <c r="C9" s="116" t="s">
        <v>195</v>
      </c>
    </row>
    <row r="10" spans="3:6">
      <c r="C10" s="116" t="s">
        <v>170</v>
      </c>
      <c r="E10" s="117">
        <v>0</v>
      </c>
    </row>
    <row r="11" spans="3:6">
      <c r="E11" s="117">
        <v>0</v>
      </c>
    </row>
    <row r="12" spans="3:6">
      <c r="C12" s="116" t="s">
        <v>171</v>
      </c>
      <c r="D12" s="748" t="s">
        <v>169</v>
      </c>
    </row>
    <row r="13" spans="3:6" ht="30">
      <c r="C13" s="119" t="s">
        <v>172</v>
      </c>
      <c r="D13" s="748"/>
    </row>
    <row r="14" spans="3:6">
      <c r="E14" s="117">
        <f>E6+E9-E8</f>
        <v>113112.76</v>
      </c>
      <c r="F14" s="120">
        <f>E14</f>
        <v>113113</v>
      </c>
    </row>
    <row r="15" spans="3:6">
      <c r="E15" s="116"/>
    </row>
    <row r="16" spans="3:6">
      <c r="C16" s="116" t="s">
        <v>6</v>
      </c>
    </row>
    <row r="17" spans="3:6" ht="30">
      <c r="C17" s="119" t="s">
        <v>386</v>
      </c>
      <c r="E17" s="122">
        <f ca="1">+'Audit reconciliation'!E11</f>
        <v>112796.63</v>
      </c>
      <c r="F17" s="123">
        <f ca="1">E17</f>
        <v>112797</v>
      </c>
    </row>
    <row r="19" spans="3:6" ht="30">
      <c r="C19" s="119" t="s">
        <v>385</v>
      </c>
      <c r="E19" s="121" t="str">
        <f ca="1">IF(E17=E14,"yes","no")</f>
        <v>no</v>
      </c>
    </row>
  </sheetData>
  <sheetProtection algorithmName="SHA-512" hashValue="nBCDKwayuWnofo6DVSEGzEN/ftzh+gjgOTrudOqG7Rr1kj/keUJ3FIW0YaFO1VptxX+Y7eXXR3MswGNkeAXV7g==" saltValue="xUbOpQe7yLk5iyBliOLj0Q==" spinCount="100000" sheet="1" objects="1" scenarios="1"/>
  <mergeCells count="1">
    <mergeCell ref="D12:D13"/>
  </mergeCells>
  <printOptions horizontalCentered="1" verticalCentered="1"/>
  <pageMargins left="0" right="0" top="0.78740157480314965" bottom="0.59055118110236227" header="0.51181102362204722" footer="0.51181102362204722"/>
  <pageSetup paperSize="9" orientation="portrait" r:id="rId1"/>
  <headerFooter alignWithMargins="0">
    <oddHeader xml:space="preserve">&amp;LNorthamptonshire
NO164&amp;CNassington Parish Council
Audit Bank Reconciliation &amp;RAccounts to y/e 31 March 2021
</oddHead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FFAE-E11D-4E98-B261-E009CE4604DB}">
  <dimension ref="B2:E28"/>
  <sheetViews>
    <sheetView topLeftCell="A3" workbookViewId="0"/>
  </sheetViews>
  <sheetFormatPr defaultRowHeight="12.75"/>
  <sheetData>
    <row r="2" spans="2:4" ht="15">
      <c r="B2" s="630" t="s">
        <v>683</v>
      </c>
      <c r="C2" s="2" t="s">
        <v>681</v>
      </c>
      <c r="D2" s="2" t="s">
        <v>682</v>
      </c>
    </row>
    <row r="3" spans="2:4">
      <c r="B3" s="628">
        <v>44166</v>
      </c>
      <c r="C3">
        <v>3.75</v>
      </c>
      <c r="D3">
        <v>0.18</v>
      </c>
    </row>
    <row r="4" spans="2:4">
      <c r="B4" s="628">
        <v>44197</v>
      </c>
      <c r="C4">
        <v>4.51</v>
      </c>
      <c r="D4">
        <v>0.22</v>
      </c>
    </row>
    <row r="5" spans="2:4">
      <c r="B5" s="628">
        <v>44228</v>
      </c>
      <c r="C5">
        <v>4.51</v>
      </c>
      <c r="D5">
        <v>0.22</v>
      </c>
    </row>
    <row r="6" spans="2:4">
      <c r="B6" s="628">
        <v>44256</v>
      </c>
      <c r="C6">
        <v>4.67</v>
      </c>
      <c r="D6">
        <v>0.23</v>
      </c>
    </row>
    <row r="7" spans="2:4">
      <c r="B7" s="628">
        <v>44287</v>
      </c>
      <c r="C7">
        <v>4.83</v>
      </c>
      <c r="D7">
        <v>0.24</v>
      </c>
    </row>
    <row r="8" spans="2:4">
      <c r="B8" s="628">
        <v>44317</v>
      </c>
      <c r="C8" s="2">
        <v>4.51</v>
      </c>
      <c r="D8">
        <v>0.22</v>
      </c>
    </row>
    <row r="9" spans="2:4">
      <c r="B9" s="628">
        <v>44348</v>
      </c>
      <c r="C9" s="2">
        <v>4.67</v>
      </c>
      <c r="D9">
        <v>0.23</v>
      </c>
    </row>
    <row r="10" spans="2:4">
      <c r="B10" s="628">
        <v>44378</v>
      </c>
      <c r="C10" s="2">
        <v>4.67</v>
      </c>
      <c r="D10">
        <v>0.23</v>
      </c>
    </row>
    <row r="11" spans="2:4">
      <c r="B11" s="628">
        <v>44409</v>
      </c>
      <c r="C11" s="2">
        <v>4.67</v>
      </c>
      <c r="D11">
        <v>0.23</v>
      </c>
    </row>
    <row r="12" spans="2:4">
      <c r="B12" s="628">
        <v>44440</v>
      </c>
      <c r="C12" s="2">
        <v>4.67</v>
      </c>
      <c r="D12">
        <v>0.23</v>
      </c>
    </row>
    <row r="13" spans="2:4">
      <c r="B13" s="628">
        <v>44470</v>
      </c>
      <c r="C13" s="2">
        <v>4.67</v>
      </c>
      <c r="D13">
        <v>0.23</v>
      </c>
    </row>
    <row r="14" spans="2:4">
      <c r="B14" s="628">
        <v>44501</v>
      </c>
      <c r="C14" s="2">
        <v>4.67</v>
      </c>
      <c r="D14">
        <v>0.23</v>
      </c>
    </row>
    <row r="15" spans="2:4">
      <c r="B15" s="628">
        <v>44531</v>
      </c>
      <c r="C15" s="2">
        <v>4.83</v>
      </c>
      <c r="D15">
        <v>0.24</v>
      </c>
    </row>
    <row r="16" spans="2:4">
      <c r="B16" s="628">
        <v>44562</v>
      </c>
      <c r="C16" s="2">
        <v>4.51</v>
      </c>
      <c r="D16">
        <v>0.22</v>
      </c>
    </row>
    <row r="17" spans="2:5">
      <c r="B17" s="628">
        <v>44593</v>
      </c>
      <c r="C17" s="2">
        <v>4.51</v>
      </c>
      <c r="D17">
        <v>0.22</v>
      </c>
    </row>
    <row r="18" spans="2:5">
      <c r="B18" s="628">
        <v>44621</v>
      </c>
      <c r="C18" s="2">
        <v>36.14</v>
      </c>
      <c r="D18">
        <v>1.81</v>
      </c>
    </row>
    <row r="19" spans="2:5">
      <c r="B19" s="628">
        <v>44652</v>
      </c>
      <c r="C19" s="2">
        <v>36.049999999999997</v>
      </c>
      <c r="D19">
        <v>1.8</v>
      </c>
    </row>
    <row r="20" spans="2:5">
      <c r="B20" s="628">
        <v>44682</v>
      </c>
      <c r="C20" s="2">
        <v>35.53</v>
      </c>
      <c r="D20">
        <v>1.77</v>
      </c>
    </row>
    <row r="21" spans="2:5">
      <c r="B21" s="628">
        <v>44713</v>
      </c>
      <c r="C21" s="2">
        <v>36.049999999999997</v>
      </c>
      <c r="D21">
        <v>1.8</v>
      </c>
    </row>
    <row r="22" spans="2:5">
      <c r="B22" s="628">
        <v>44743</v>
      </c>
      <c r="C22" s="2">
        <v>36.049999999999997</v>
      </c>
      <c r="D22">
        <v>1.8</v>
      </c>
    </row>
    <row r="23" spans="2:5">
      <c r="B23" s="628">
        <v>44774</v>
      </c>
      <c r="C23" s="2">
        <v>36.049999999999997</v>
      </c>
      <c r="D23">
        <v>1.8</v>
      </c>
    </row>
    <row r="24" spans="2:5">
      <c r="B24" s="629">
        <v>44805</v>
      </c>
      <c r="C24" s="2">
        <v>45.74</v>
      </c>
      <c r="D24">
        <v>2.2799999999999998</v>
      </c>
    </row>
    <row r="25" spans="2:5">
      <c r="B25" s="628">
        <v>44835</v>
      </c>
      <c r="C25" s="2">
        <v>41.81</v>
      </c>
      <c r="D25">
        <v>2.09</v>
      </c>
    </row>
    <row r="26" spans="2:5">
      <c r="B26" s="628">
        <v>44866</v>
      </c>
      <c r="C26" s="2">
        <v>42.29</v>
      </c>
      <c r="D26">
        <v>2.11</v>
      </c>
    </row>
    <row r="27" spans="2:5">
      <c r="B27" s="628">
        <v>44896</v>
      </c>
      <c r="C27" s="2">
        <v>42.77</v>
      </c>
      <c r="D27">
        <v>2.13</v>
      </c>
    </row>
    <row r="28" spans="2:5">
      <c r="C28">
        <f>SUM(C3:C27)</f>
        <v>457.13</v>
      </c>
      <c r="D28">
        <f>SUM(D3:D27)</f>
        <v>22.76</v>
      </c>
      <c r="E28">
        <f>457.13+22.76</f>
        <v>479.89</v>
      </c>
    </row>
  </sheetData>
  <hyperlinks>
    <hyperlink ref="B2" r:id="rId1" xr:uid="{6243961A-D970-4553-8AE1-EC30C6190EB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5931-6E12-4E8A-AD08-F3D5A41298ED}">
  <dimension ref="B1:L69"/>
  <sheetViews>
    <sheetView zoomScaleNormal="100" workbookViewId="0">
      <pane ySplit="1" topLeftCell="A31" activePane="bottomLeft" state="frozen"/>
      <selection activeCell="G37" sqref="G37"/>
      <selection pane="bottomLeft" activeCell="C35" sqref="C35"/>
    </sheetView>
  </sheetViews>
  <sheetFormatPr defaultColWidth="9.140625" defaultRowHeight="12.75"/>
  <cols>
    <col min="1" max="1" width="9.140625" style="559"/>
    <col min="2" max="2" width="12.85546875" style="559" customWidth="1"/>
    <col min="3" max="3" width="28.28515625" style="559" customWidth="1"/>
    <col min="4" max="4" width="6.85546875" style="559" bestFit="1" customWidth="1"/>
    <col min="5" max="5" width="14.140625" style="557" bestFit="1" customWidth="1"/>
    <col min="6" max="7" width="14.28515625" style="558" customWidth="1"/>
    <col min="8" max="8" width="22" style="571" bestFit="1" customWidth="1"/>
    <col min="9" max="9" width="13" style="558" customWidth="1"/>
    <col min="10" max="10" width="9.140625" style="559"/>
    <col min="11" max="11" width="9.140625" style="558"/>
    <col min="12" max="16384" width="9.140625" style="559"/>
  </cols>
  <sheetData>
    <row r="1" spans="2:10" ht="14.65" customHeight="1">
      <c r="B1" s="569" t="s">
        <v>451</v>
      </c>
      <c r="C1" s="556" t="s">
        <v>392</v>
      </c>
      <c r="D1" s="555"/>
      <c r="E1" s="570" t="s">
        <v>454</v>
      </c>
      <c r="F1" s="558" t="s">
        <v>453</v>
      </c>
      <c r="G1" s="558" t="s">
        <v>12</v>
      </c>
    </row>
    <row r="2" spans="2:10" ht="14.65" customHeight="1">
      <c r="B2" s="606">
        <v>44651</v>
      </c>
      <c r="C2" s="556" t="s">
        <v>452</v>
      </c>
      <c r="D2" s="555"/>
      <c r="G2" s="586">
        <v>511.3</v>
      </c>
    </row>
    <row r="3" spans="2:10" ht="14.65" customHeight="1">
      <c r="B3" s="606">
        <v>44655</v>
      </c>
      <c r="C3" s="569" t="s">
        <v>450</v>
      </c>
      <c r="D3" s="566"/>
      <c r="E3" s="558"/>
      <c r="F3" s="558">
        <v>155</v>
      </c>
      <c r="G3" s="586">
        <f>G2+E3-F3</f>
        <v>356.3</v>
      </c>
      <c r="I3" s="567"/>
      <c r="J3" s="568"/>
    </row>
    <row r="4" spans="2:10" ht="14.65" customHeight="1">
      <c r="B4" s="606">
        <v>44659</v>
      </c>
      <c r="C4" s="569" t="s">
        <v>449</v>
      </c>
      <c r="D4" s="566"/>
      <c r="E4" s="558"/>
      <c r="F4" s="558">
        <v>40</v>
      </c>
      <c r="G4" s="586">
        <f t="shared" ref="G4:G51" si="0">G3+E4-F4</f>
        <v>316.3</v>
      </c>
      <c r="I4" s="567"/>
      <c r="J4" s="568"/>
    </row>
    <row r="5" spans="2:10" ht="14.65" customHeight="1">
      <c r="B5" s="606">
        <v>44662</v>
      </c>
      <c r="C5" s="569" t="s">
        <v>401</v>
      </c>
      <c r="E5" s="558"/>
      <c r="F5" s="558">
        <v>1.99</v>
      </c>
      <c r="G5" s="586">
        <f t="shared" si="0"/>
        <v>314.31</v>
      </c>
      <c r="I5" s="567"/>
      <c r="J5" s="568"/>
    </row>
    <row r="6" spans="2:10" ht="14.65" customHeight="1">
      <c r="B6" s="606">
        <v>44670</v>
      </c>
      <c r="C6" s="569" t="s">
        <v>448</v>
      </c>
      <c r="D6" s="566"/>
      <c r="E6" s="558"/>
      <c r="F6" s="558">
        <v>21</v>
      </c>
      <c r="G6" s="586">
        <f t="shared" si="0"/>
        <v>293.31</v>
      </c>
      <c r="H6" s="571" t="s">
        <v>455</v>
      </c>
      <c r="I6" s="567"/>
      <c r="J6" s="568"/>
    </row>
    <row r="7" spans="2:10" ht="14.65" customHeight="1">
      <c r="B7" s="606">
        <v>44677</v>
      </c>
      <c r="C7" s="569" t="s">
        <v>445</v>
      </c>
      <c r="D7" s="566"/>
      <c r="E7" s="558"/>
      <c r="F7" s="558">
        <v>30.6</v>
      </c>
      <c r="G7" s="586">
        <f t="shared" si="0"/>
        <v>262.70999999999998</v>
      </c>
      <c r="I7" s="567"/>
      <c r="J7" s="568"/>
    </row>
    <row r="8" spans="2:10" ht="14.65" customHeight="1">
      <c r="B8" s="606">
        <v>44677</v>
      </c>
      <c r="C8" s="569" t="s">
        <v>446</v>
      </c>
      <c r="D8" s="566"/>
      <c r="E8" s="558"/>
      <c r="F8" s="558">
        <v>96.9</v>
      </c>
      <c r="G8" s="586">
        <f t="shared" si="0"/>
        <v>165.81</v>
      </c>
      <c r="I8" s="567"/>
      <c r="J8" s="568"/>
    </row>
    <row r="9" spans="2:10" ht="14.65" customHeight="1">
      <c r="B9" s="606">
        <v>44677</v>
      </c>
      <c r="C9" s="569" t="s">
        <v>447</v>
      </c>
      <c r="D9" s="566"/>
      <c r="E9" s="558"/>
      <c r="F9" s="558">
        <v>59.5</v>
      </c>
      <c r="G9" s="586">
        <f t="shared" si="0"/>
        <v>106.31</v>
      </c>
      <c r="I9" s="567"/>
      <c r="J9" s="568"/>
    </row>
    <row r="10" spans="2:10" ht="14.65" customHeight="1">
      <c r="B10" s="606">
        <v>44685</v>
      </c>
      <c r="C10" s="569" t="s">
        <v>443</v>
      </c>
      <c r="D10" s="566"/>
      <c r="E10" s="558"/>
      <c r="F10" s="558">
        <v>37</v>
      </c>
      <c r="G10" s="586">
        <f t="shared" si="0"/>
        <v>69.31</v>
      </c>
      <c r="I10" s="567"/>
      <c r="J10" s="568"/>
    </row>
    <row r="11" spans="2:10" ht="14.65" customHeight="1">
      <c r="B11" s="606">
        <v>44685</v>
      </c>
      <c r="C11" s="569" t="s">
        <v>444</v>
      </c>
      <c r="D11" s="566"/>
      <c r="E11" s="558"/>
      <c r="F11" s="558">
        <v>6</v>
      </c>
      <c r="G11" s="586">
        <f t="shared" si="0"/>
        <v>63.31</v>
      </c>
      <c r="I11" s="567"/>
      <c r="J11" s="568"/>
    </row>
    <row r="12" spans="2:10" ht="14.65" customHeight="1">
      <c r="B12" s="606">
        <v>44686</v>
      </c>
      <c r="C12" s="569" t="s">
        <v>403</v>
      </c>
      <c r="D12" s="566"/>
      <c r="E12" s="558">
        <v>1000</v>
      </c>
      <c r="G12" s="586">
        <f t="shared" si="0"/>
        <v>1063.31</v>
      </c>
      <c r="I12" s="567"/>
      <c r="J12" s="568"/>
    </row>
    <row r="13" spans="2:10" ht="14.65" customHeight="1">
      <c r="B13" s="606">
        <v>44687</v>
      </c>
      <c r="C13" s="569" t="s">
        <v>441</v>
      </c>
      <c r="D13" s="566"/>
      <c r="E13" s="558"/>
      <c r="F13" s="558">
        <v>186.45</v>
      </c>
      <c r="G13" s="586">
        <f t="shared" si="0"/>
        <v>876.86</v>
      </c>
      <c r="I13" s="567"/>
      <c r="J13" s="568"/>
    </row>
    <row r="14" spans="2:10" ht="14.65" customHeight="1">
      <c r="B14" s="606">
        <v>44687</v>
      </c>
      <c r="C14" s="569" t="s">
        <v>442</v>
      </c>
      <c r="D14" s="566"/>
      <c r="E14" s="558"/>
      <c r="F14" s="558">
        <v>254.26</v>
      </c>
      <c r="G14" s="586">
        <f t="shared" si="0"/>
        <v>622.6</v>
      </c>
      <c r="I14" s="567"/>
      <c r="J14" s="568"/>
    </row>
    <row r="15" spans="2:10" ht="14.65" customHeight="1">
      <c r="B15" s="606">
        <v>44690</v>
      </c>
      <c r="C15" s="556" t="s">
        <v>440</v>
      </c>
      <c r="D15" s="555"/>
      <c r="E15" s="558">
        <v>750</v>
      </c>
      <c r="G15" s="586">
        <f t="shared" si="0"/>
        <v>1372.6</v>
      </c>
    </row>
    <row r="16" spans="2:10" ht="14.25" customHeight="1">
      <c r="B16" s="606">
        <v>44691</v>
      </c>
      <c r="C16" s="565" t="s">
        <v>439</v>
      </c>
      <c r="D16" s="566"/>
      <c r="E16" s="558"/>
      <c r="F16" s="558">
        <v>339.99</v>
      </c>
      <c r="G16" s="586">
        <f t="shared" si="0"/>
        <v>1032.6099999999999</v>
      </c>
      <c r="I16" s="567"/>
      <c r="J16" s="568"/>
    </row>
    <row r="17" spans="2:12" s="564" customFormat="1" ht="14.65" customHeight="1">
      <c r="B17" s="606">
        <v>44692</v>
      </c>
      <c r="C17" s="556" t="s">
        <v>438</v>
      </c>
      <c r="E17" s="558"/>
      <c r="F17" s="558">
        <v>1.99</v>
      </c>
      <c r="G17" s="586">
        <f t="shared" si="0"/>
        <v>1030.6199999999999</v>
      </c>
      <c r="H17" s="571"/>
      <c r="I17" s="558"/>
      <c r="J17" s="559"/>
      <c r="K17" s="558"/>
      <c r="L17" s="559"/>
    </row>
    <row r="18" spans="2:12" s="564" customFormat="1" ht="14.65" customHeight="1">
      <c r="B18" s="606" t="s">
        <v>435</v>
      </c>
      <c r="C18" s="556" t="s">
        <v>427</v>
      </c>
      <c r="D18" s="555"/>
      <c r="E18" s="558"/>
      <c r="F18" s="558">
        <v>24.99</v>
      </c>
      <c r="G18" s="586">
        <f t="shared" si="0"/>
        <v>1005.63</v>
      </c>
      <c r="H18" s="571" t="s">
        <v>436</v>
      </c>
      <c r="I18" s="558"/>
      <c r="J18" s="559"/>
      <c r="K18" s="558"/>
      <c r="L18" s="559"/>
    </row>
    <row r="19" spans="2:12" ht="14.65" customHeight="1">
      <c r="B19" s="606" t="s">
        <v>435</v>
      </c>
      <c r="C19" s="556" t="s">
        <v>427</v>
      </c>
      <c r="D19" s="555"/>
      <c r="E19" s="558"/>
      <c r="F19" s="558">
        <v>19.89</v>
      </c>
      <c r="G19" s="586">
        <f t="shared" si="0"/>
        <v>985.74</v>
      </c>
      <c r="H19" s="571" t="s">
        <v>437</v>
      </c>
    </row>
    <row r="20" spans="2:12" ht="14.65" customHeight="1">
      <c r="B20" s="606" t="s">
        <v>433</v>
      </c>
      <c r="C20" s="556" t="s">
        <v>422</v>
      </c>
      <c r="D20" s="555"/>
      <c r="E20" s="558"/>
      <c r="F20" s="558">
        <v>11.99</v>
      </c>
      <c r="G20" s="586">
        <f t="shared" si="0"/>
        <v>973.75</v>
      </c>
      <c r="H20" s="571" t="s">
        <v>434</v>
      </c>
    </row>
    <row r="21" spans="2:12" ht="14.65" customHeight="1">
      <c r="B21" s="606" t="s">
        <v>430</v>
      </c>
      <c r="C21" s="556" t="s">
        <v>431</v>
      </c>
      <c r="D21" s="555"/>
      <c r="E21" s="558"/>
      <c r="F21" s="558">
        <v>9.36</v>
      </c>
      <c r="G21" s="586">
        <f t="shared" si="0"/>
        <v>964.39</v>
      </c>
    </row>
    <row r="22" spans="2:12" ht="14.65" customHeight="1">
      <c r="B22" s="606" t="s">
        <v>430</v>
      </c>
      <c r="C22" s="556" t="s">
        <v>432</v>
      </c>
      <c r="D22" s="555"/>
      <c r="E22" s="558"/>
      <c r="F22" s="558">
        <v>122.4</v>
      </c>
      <c r="G22" s="586">
        <f t="shared" si="0"/>
        <v>841.99</v>
      </c>
    </row>
    <row r="23" spans="2:12" ht="14.65" customHeight="1">
      <c r="B23" s="606" t="s">
        <v>425</v>
      </c>
      <c r="C23" s="556" t="s">
        <v>426</v>
      </c>
      <c r="D23" s="555"/>
      <c r="E23" s="558"/>
      <c r="F23" s="558">
        <v>319</v>
      </c>
      <c r="G23" s="586">
        <f t="shared" si="0"/>
        <v>522.99</v>
      </c>
    </row>
    <row r="24" spans="2:12" ht="14.65" customHeight="1">
      <c r="B24" s="606" t="s">
        <v>425</v>
      </c>
      <c r="C24" s="556" t="s">
        <v>426</v>
      </c>
      <c r="D24" s="555"/>
      <c r="E24" s="558"/>
      <c r="F24" s="558">
        <v>279</v>
      </c>
      <c r="G24" s="586">
        <f t="shared" si="0"/>
        <v>243.99</v>
      </c>
    </row>
    <row r="25" spans="2:12" ht="14.65" customHeight="1">
      <c r="B25" s="606" t="s">
        <v>425</v>
      </c>
      <c r="C25" s="556" t="s">
        <v>427</v>
      </c>
      <c r="D25" s="555"/>
      <c r="E25" s="558"/>
      <c r="F25" s="558">
        <v>119.64</v>
      </c>
      <c r="G25" s="586">
        <f t="shared" si="0"/>
        <v>124.35</v>
      </c>
      <c r="H25" s="571" t="s">
        <v>428</v>
      </c>
    </row>
    <row r="26" spans="2:12" ht="14.65" customHeight="1">
      <c r="B26" s="606" t="s">
        <v>425</v>
      </c>
      <c r="C26" s="556" t="s">
        <v>427</v>
      </c>
      <c r="D26" s="555"/>
      <c r="E26" s="558"/>
      <c r="F26" s="558">
        <v>35.96</v>
      </c>
      <c r="G26" s="586">
        <f t="shared" si="0"/>
        <v>88.39</v>
      </c>
      <c r="H26" s="571" t="s">
        <v>429</v>
      </c>
    </row>
    <row r="27" spans="2:12" ht="14.65" customHeight="1">
      <c r="B27" s="607" t="s">
        <v>421</v>
      </c>
      <c r="C27" s="556" t="s">
        <v>422</v>
      </c>
      <c r="D27" s="555"/>
      <c r="E27" s="558"/>
      <c r="F27" s="558">
        <v>11.99</v>
      </c>
      <c r="G27" s="586">
        <f t="shared" si="0"/>
        <v>76.400000000000006</v>
      </c>
      <c r="H27" s="571" t="s">
        <v>423</v>
      </c>
    </row>
    <row r="28" spans="2:12" ht="14.65" customHeight="1">
      <c r="B28" s="607" t="s">
        <v>421</v>
      </c>
      <c r="C28" s="556" t="s">
        <v>422</v>
      </c>
      <c r="D28" s="555"/>
      <c r="E28" s="558"/>
      <c r="F28" s="558">
        <v>50.85</v>
      </c>
      <c r="G28" s="586">
        <f t="shared" si="0"/>
        <v>25.55</v>
      </c>
      <c r="H28" s="571" t="s">
        <v>424</v>
      </c>
    </row>
    <row r="29" spans="2:12" ht="14.65" customHeight="1">
      <c r="B29" s="607" t="s">
        <v>418</v>
      </c>
      <c r="C29" s="556" t="s">
        <v>419</v>
      </c>
      <c r="D29" s="555"/>
      <c r="E29" s="558"/>
      <c r="F29" s="558">
        <v>202.97</v>
      </c>
      <c r="G29" s="586">
        <f t="shared" si="0"/>
        <v>-177.42</v>
      </c>
      <c r="H29" s="571" t="s">
        <v>420</v>
      </c>
    </row>
    <row r="30" spans="2:12" ht="14.65" customHeight="1">
      <c r="B30" s="608" t="s">
        <v>414</v>
      </c>
      <c r="C30" s="562" t="s">
        <v>403</v>
      </c>
      <c r="D30" s="561"/>
      <c r="E30" s="558">
        <v>250</v>
      </c>
      <c r="G30" s="586">
        <f t="shared" si="0"/>
        <v>72.58</v>
      </c>
      <c r="I30" s="563"/>
      <c r="J30" s="564"/>
    </row>
    <row r="31" spans="2:12" ht="14.65" customHeight="1">
      <c r="B31" s="607" t="s">
        <v>415</v>
      </c>
      <c r="C31" s="556" t="s">
        <v>416</v>
      </c>
      <c r="D31" s="555"/>
      <c r="E31" s="558"/>
      <c r="F31" s="558">
        <v>63</v>
      </c>
      <c r="G31" s="586">
        <f t="shared" si="0"/>
        <v>9.58</v>
      </c>
      <c r="H31" s="571" t="s">
        <v>417</v>
      </c>
    </row>
    <row r="32" spans="2:12" ht="14.65" customHeight="1">
      <c r="B32" s="607" t="s">
        <v>411</v>
      </c>
      <c r="C32" s="556" t="s">
        <v>412</v>
      </c>
      <c r="D32" s="555"/>
      <c r="E32" s="558"/>
      <c r="F32" s="558">
        <v>25.74</v>
      </c>
      <c r="G32" s="586">
        <f t="shared" si="0"/>
        <v>-16.16</v>
      </c>
      <c r="H32" s="571" t="s">
        <v>413</v>
      </c>
    </row>
    <row r="33" spans="2:9" ht="14.65" customHeight="1">
      <c r="B33" s="607" t="s">
        <v>411</v>
      </c>
      <c r="C33" s="556" t="s">
        <v>407</v>
      </c>
      <c r="D33" s="555"/>
      <c r="E33" s="558"/>
      <c r="F33" s="558">
        <v>19.5</v>
      </c>
      <c r="G33" s="586">
        <f t="shared" si="0"/>
        <v>-35.659999999999997</v>
      </c>
      <c r="H33" s="571" t="s">
        <v>408</v>
      </c>
    </row>
    <row r="34" spans="2:9" ht="14.65" customHeight="1">
      <c r="B34" s="607" t="s">
        <v>406</v>
      </c>
      <c r="C34" s="556" t="s">
        <v>407</v>
      </c>
      <c r="D34" s="555"/>
      <c r="E34" s="558"/>
      <c r="F34" s="558">
        <v>26</v>
      </c>
      <c r="G34" s="586">
        <f t="shared" si="0"/>
        <v>-61.66</v>
      </c>
      <c r="H34" s="571" t="s">
        <v>408</v>
      </c>
    </row>
    <row r="35" spans="2:9" ht="14.65" customHeight="1">
      <c r="B35" s="607" t="s">
        <v>406</v>
      </c>
      <c r="C35" s="556" t="s">
        <v>409</v>
      </c>
      <c r="D35" s="555"/>
      <c r="E35" s="558"/>
      <c r="F35" s="558">
        <v>38.25</v>
      </c>
      <c r="G35" s="586">
        <f t="shared" si="0"/>
        <v>-99.91</v>
      </c>
      <c r="H35" s="571" t="s">
        <v>410</v>
      </c>
    </row>
    <row r="36" spans="2:9" ht="14.65" customHeight="1">
      <c r="B36" s="607" t="s">
        <v>404</v>
      </c>
      <c r="C36" s="555" t="s">
        <v>399</v>
      </c>
      <c r="E36" s="558"/>
      <c r="F36" s="558">
        <v>113.95</v>
      </c>
      <c r="G36" s="586">
        <f t="shared" si="0"/>
        <v>-213.86</v>
      </c>
      <c r="H36" s="571" t="s">
        <v>405</v>
      </c>
      <c r="I36" s="559"/>
    </row>
    <row r="37" spans="2:9" ht="14.65" customHeight="1">
      <c r="B37" s="607" t="s">
        <v>402</v>
      </c>
      <c r="C37" s="555" t="s">
        <v>403</v>
      </c>
      <c r="E37" s="558">
        <v>300</v>
      </c>
      <c r="G37" s="586">
        <f t="shared" si="0"/>
        <v>86.14</v>
      </c>
      <c r="I37" s="559"/>
    </row>
    <row r="38" spans="2:9" ht="14.65" customHeight="1">
      <c r="B38" s="607" t="s">
        <v>400</v>
      </c>
      <c r="C38" s="555" t="s">
        <v>401</v>
      </c>
      <c r="E38" s="559"/>
      <c r="F38" s="558">
        <v>1.99</v>
      </c>
      <c r="G38" s="586">
        <f t="shared" si="0"/>
        <v>84.15</v>
      </c>
      <c r="I38" s="559"/>
    </row>
    <row r="39" spans="2:9" ht="14.65" customHeight="1">
      <c r="B39" s="607" t="s">
        <v>396</v>
      </c>
      <c r="C39" s="555" t="s">
        <v>397</v>
      </c>
      <c r="E39" s="560"/>
      <c r="F39" s="558">
        <v>6.99</v>
      </c>
      <c r="G39" s="586">
        <f t="shared" si="0"/>
        <v>77.16</v>
      </c>
      <c r="H39" s="571" t="s">
        <v>398</v>
      </c>
      <c r="I39" s="559"/>
    </row>
    <row r="40" spans="2:9" ht="14.65" customHeight="1">
      <c r="B40" s="607" t="s">
        <v>393</v>
      </c>
      <c r="C40" s="555" t="s">
        <v>394</v>
      </c>
      <c r="E40" s="560"/>
      <c r="F40" s="558">
        <v>13.7</v>
      </c>
      <c r="G40" s="586">
        <f t="shared" si="0"/>
        <v>63.46</v>
      </c>
      <c r="H40" s="571" t="s">
        <v>395</v>
      </c>
      <c r="I40" s="583">
        <f>SUM(F31:F40)</f>
        <v>309.12</v>
      </c>
    </row>
    <row r="41" spans="2:9" ht="14.65" customHeight="1">
      <c r="B41" s="607">
        <v>44767</v>
      </c>
      <c r="C41" s="555" t="s">
        <v>401</v>
      </c>
      <c r="E41" s="560"/>
      <c r="F41" s="558">
        <v>1.99</v>
      </c>
      <c r="G41" s="586">
        <f>G40+E41-F41</f>
        <v>61.47</v>
      </c>
      <c r="H41" s="571" t="s">
        <v>613</v>
      </c>
      <c r="I41" s="583"/>
    </row>
    <row r="42" spans="2:9" ht="14.65" customHeight="1">
      <c r="B42" s="607">
        <v>44767</v>
      </c>
      <c r="C42" s="559" t="s">
        <v>615</v>
      </c>
      <c r="E42" s="560"/>
      <c r="F42" s="558">
        <v>10</v>
      </c>
      <c r="G42" s="586">
        <f t="shared" si="0"/>
        <v>51.47</v>
      </c>
      <c r="H42" s="605" t="s">
        <v>614</v>
      </c>
      <c r="I42" s="583"/>
    </row>
    <row r="43" spans="2:9" ht="14.65" customHeight="1">
      <c r="B43" s="607">
        <v>44778</v>
      </c>
      <c r="C43" s="555" t="s">
        <v>616</v>
      </c>
      <c r="E43" s="560"/>
      <c r="F43" s="558">
        <v>5.38</v>
      </c>
      <c r="G43" s="586">
        <f t="shared" si="0"/>
        <v>46.09</v>
      </c>
      <c r="H43" s="571" t="s">
        <v>617</v>
      </c>
      <c r="I43" s="583"/>
    </row>
    <row r="44" spans="2:9" ht="14.65" customHeight="1">
      <c r="B44" s="607">
        <v>44815</v>
      </c>
      <c r="C44" s="555" t="s">
        <v>401</v>
      </c>
      <c r="E44" s="560"/>
      <c r="F44" s="558">
        <v>0.96</v>
      </c>
      <c r="G44" s="586">
        <f t="shared" si="0"/>
        <v>45.13</v>
      </c>
      <c r="H44" s="571" t="s">
        <v>613</v>
      </c>
      <c r="I44" s="583"/>
    </row>
    <row r="45" spans="2:9" ht="14.65" customHeight="1">
      <c r="B45" s="607">
        <v>44838</v>
      </c>
      <c r="C45" s="555" t="s">
        <v>401</v>
      </c>
      <c r="E45" s="560"/>
      <c r="F45" s="558">
        <v>1.99</v>
      </c>
      <c r="G45" s="586">
        <f t="shared" si="0"/>
        <v>43.14</v>
      </c>
      <c r="H45" s="571" t="s">
        <v>613</v>
      </c>
      <c r="I45" s="583"/>
    </row>
    <row r="46" spans="2:9" ht="14.65" customHeight="1">
      <c r="B46" s="607">
        <v>44845</v>
      </c>
      <c r="C46" s="555" t="s">
        <v>401</v>
      </c>
      <c r="E46" s="560"/>
      <c r="F46" s="558">
        <v>1.99</v>
      </c>
      <c r="G46" s="586">
        <f t="shared" si="0"/>
        <v>41.15</v>
      </c>
      <c r="H46" s="571" t="s">
        <v>613</v>
      </c>
      <c r="I46" s="583"/>
    </row>
    <row r="47" spans="2:9" ht="14.65" customHeight="1">
      <c r="B47" s="607">
        <v>44845</v>
      </c>
      <c r="C47" s="555" t="s">
        <v>615</v>
      </c>
      <c r="E47" s="560"/>
      <c r="F47" s="558">
        <v>59.53</v>
      </c>
      <c r="G47" s="586">
        <f t="shared" si="0"/>
        <v>-18.38</v>
      </c>
      <c r="H47" s="571" t="s">
        <v>618</v>
      </c>
      <c r="I47" s="583"/>
    </row>
    <row r="48" spans="2:9" ht="14.65" customHeight="1">
      <c r="B48" s="607">
        <v>44856</v>
      </c>
      <c r="C48" s="555" t="s">
        <v>624</v>
      </c>
      <c r="E48" s="560"/>
      <c r="F48" s="558">
        <v>23.98</v>
      </c>
      <c r="G48" s="586">
        <f t="shared" si="0"/>
        <v>-42.36</v>
      </c>
      <c r="I48" s="583"/>
    </row>
    <row r="49" spans="2:9" ht="14.65" customHeight="1">
      <c r="B49" s="607">
        <v>44876</v>
      </c>
      <c r="C49" s="555" t="s">
        <v>401</v>
      </c>
      <c r="E49" s="560"/>
      <c r="F49" s="558">
        <v>1.99</v>
      </c>
      <c r="G49" s="586">
        <f t="shared" si="0"/>
        <v>-44.35</v>
      </c>
      <c r="I49" s="583"/>
    </row>
    <row r="50" spans="2:9" ht="14.65" customHeight="1">
      <c r="B50" s="607">
        <v>44880</v>
      </c>
      <c r="C50" s="625" t="s">
        <v>639</v>
      </c>
      <c r="E50" s="560"/>
      <c r="F50" s="558">
        <v>48</v>
      </c>
      <c r="G50" s="586">
        <f t="shared" si="0"/>
        <v>-92.35</v>
      </c>
      <c r="I50" s="583"/>
    </row>
    <row r="51" spans="2:9" ht="14.65" customHeight="1">
      <c r="B51" s="607">
        <v>44899</v>
      </c>
      <c r="C51" s="555" t="s">
        <v>638</v>
      </c>
      <c r="E51" s="560"/>
      <c r="F51" s="558">
        <v>42.95</v>
      </c>
      <c r="G51" s="586">
        <f t="shared" si="0"/>
        <v>-135.30000000000001</v>
      </c>
      <c r="I51" s="583"/>
    </row>
    <row r="52" spans="2:9" ht="14.65" customHeight="1">
      <c r="B52" s="607">
        <v>44910</v>
      </c>
      <c r="C52" s="555" t="s">
        <v>475</v>
      </c>
      <c r="E52" s="560"/>
      <c r="F52" s="558">
        <v>1.99</v>
      </c>
      <c r="G52" s="586">
        <f>G51+E52-F52</f>
        <v>-137.29</v>
      </c>
      <c r="I52" s="583"/>
    </row>
    <row r="53" spans="2:9" ht="14.65" customHeight="1">
      <c r="B53" s="607">
        <v>44916</v>
      </c>
      <c r="C53" s="555" t="s">
        <v>656</v>
      </c>
      <c r="E53" s="560">
        <v>600</v>
      </c>
      <c r="G53" s="586">
        <f>G52+E53-F53</f>
        <v>462.71</v>
      </c>
      <c r="I53" s="583"/>
    </row>
    <row r="54" spans="2:9" ht="14.65" customHeight="1">
      <c r="B54" s="607">
        <f>Payments!D164</f>
        <v>44917</v>
      </c>
      <c r="C54" s="555" t="s">
        <v>665</v>
      </c>
      <c r="E54" s="560"/>
      <c r="F54" s="558">
        <f>Payments!C164</f>
        <v>293</v>
      </c>
      <c r="G54" s="586">
        <f>G53+E54-F54</f>
        <v>169.71</v>
      </c>
      <c r="I54" s="583"/>
    </row>
    <row r="55" spans="2:9" ht="14.65" customHeight="1">
      <c r="B55" s="607">
        <v>44919</v>
      </c>
      <c r="C55" s="555" t="s">
        <v>667</v>
      </c>
      <c r="E55" s="560"/>
      <c r="F55" s="558">
        <f>Payments!C165</f>
        <v>14.39</v>
      </c>
      <c r="G55" s="586">
        <f t="shared" ref="G55:G59" si="1">G54+E55-F55</f>
        <v>155.32</v>
      </c>
      <c r="H55" s="679">
        <f>F55</f>
        <v>14.39</v>
      </c>
      <c r="I55" s="583"/>
    </row>
    <row r="56" spans="2:9" ht="14.65" customHeight="1">
      <c r="B56" s="607">
        <v>44922</v>
      </c>
      <c r="C56" s="555" t="s">
        <v>670</v>
      </c>
      <c r="E56" s="560"/>
      <c r="F56" s="558">
        <f>Payments!C166</f>
        <v>62.37</v>
      </c>
      <c r="G56" s="586">
        <f t="shared" si="1"/>
        <v>92.95</v>
      </c>
      <c r="H56" s="679">
        <f>F56</f>
        <v>62.37</v>
      </c>
      <c r="I56" s="583"/>
    </row>
    <row r="57" spans="2:9" ht="14.65" customHeight="1">
      <c r="B57" s="607">
        <v>44937</v>
      </c>
      <c r="C57" s="555" t="s">
        <v>475</v>
      </c>
      <c r="E57" s="560"/>
      <c r="F57" s="558">
        <v>1.99</v>
      </c>
      <c r="G57" s="586">
        <f t="shared" si="1"/>
        <v>90.96</v>
      </c>
      <c r="I57" s="583"/>
    </row>
    <row r="58" spans="2:9" ht="14.65" customHeight="1">
      <c r="B58" s="607">
        <v>44968</v>
      </c>
      <c r="C58" s="555" t="s">
        <v>475</v>
      </c>
      <c r="E58" s="560"/>
      <c r="F58" s="558">
        <v>1.99</v>
      </c>
      <c r="G58" s="586">
        <f t="shared" si="1"/>
        <v>88.97</v>
      </c>
      <c r="I58" s="583"/>
    </row>
    <row r="59" spans="2:9" ht="14.65" customHeight="1">
      <c r="B59" s="607">
        <v>44978</v>
      </c>
      <c r="C59" s="555" t="s">
        <v>678</v>
      </c>
      <c r="E59" s="559">
        <v>479.89</v>
      </c>
      <c r="F59" s="559">
        <v>479.89</v>
      </c>
      <c r="G59" s="586">
        <f t="shared" si="1"/>
        <v>88.97</v>
      </c>
      <c r="I59" s="583"/>
    </row>
    <row r="60" spans="2:9" ht="14.65" customHeight="1">
      <c r="B60" s="607">
        <v>44996</v>
      </c>
      <c r="C60" s="555" t="s">
        <v>475</v>
      </c>
      <c r="E60" s="560"/>
      <c r="F60" s="558">
        <v>1.99</v>
      </c>
      <c r="G60" s="586">
        <f>G59+E60-F60</f>
        <v>86.98</v>
      </c>
      <c r="I60" s="583"/>
    </row>
    <row r="61" spans="2:9" ht="14.65" customHeight="1">
      <c r="B61" s="607">
        <v>44997</v>
      </c>
      <c r="C61" s="555" t="s">
        <v>679</v>
      </c>
      <c r="E61" s="560"/>
      <c r="F61" s="558">
        <v>57.6</v>
      </c>
      <c r="G61" s="586">
        <f>G60+E61-F61</f>
        <v>29.38</v>
      </c>
      <c r="H61" s="679">
        <f>F61</f>
        <v>57.6</v>
      </c>
      <c r="I61" s="583"/>
    </row>
    <row r="62" spans="2:9">
      <c r="B62" s="607">
        <v>45002</v>
      </c>
      <c r="C62" s="559" t="s">
        <v>656</v>
      </c>
      <c r="E62" s="560">
        <v>150</v>
      </c>
      <c r="G62" s="586">
        <f>G61+E62-F62</f>
        <v>179.38</v>
      </c>
      <c r="H62" s="679">
        <f>SUM(H55:H61)</f>
        <v>134.36000000000001</v>
      </c>
    </row>
    <row r="63" spans="2:9">
      <c r="B63" s="607">
        <v>45003</v>
      </c>
      <c r="C63" s="555" t="s">
        <v>692</v>
      </c>
      <c r="E63" s="560"/>
      <c r="F63" s="558">
        <v>61.46</v>
      </c>
      <c r="G63" s="586">
        <f>G62+E63-F63</f>
        <v>117.92</v>
      </c>
    </row>
    <row r="64" spans="2:9">
      <c r="B64" s="607">
        <v>45004</v>
      </c>
      <c r="C64" s="555" t="s">
        <v>702</v>
      </c>
      <c r="E64" s="560"/>
      <c r="F64" s="558">
        <v>141.69</v>
      </c>
      <c r="G64" s="586">
        <f>G63+E64-F64</f>
        <v>-23.77</v>
      </c>
    </row>
    <row r="65" spans="2:7">
      <c r="B65" s="607">
        <v>45016</v>
      </c>
      <c r="C65" s="649" t="s">
        <v>656</v>
      </c>
      <c r="E65" s="560">
        <v>26</v>
      </c>
      <c r="G65" s="586">
        <f t="shared" ref="G65" si="2">G64+E65-F65</f>
        <v>2.23</v>
      </c>
    </row>
    <row r="66" spans="2:7">
      <c r="B66" s="607"/>
      <c r="C66" s="555"/>
      <c r="E66" s="560"/>
      <c r="G66" s="586">
        <f t="shared" ref="G66" si="3">G65+E66-F66</f>
        <v>2.23</v>
      </c>
    </row>
    <row r="67" spans="2:7">
      <c r="B67" s="607"/>
      <c r="C67" s="555"/>
      <c r="E67" s="560"/>
      <c r="G67" s="586"/>
    </row>
    <row r="68" spans="2:7">
      <c r="B68" s="607"/>
      <c r="E68" s="557">
        <f>SUM(E2:E67)</f>
        <v>3555.89</v>
      </c>
      <c r="F68" s="557">
        <f>SUM(F2:F67)</f>
        <v>4064.96</v>
      </c>
    </row>
    <row r="69" spans="2:7">
      <c r="B69" s="607"/>
      <c r="F69" s="572"/>
    </row>
  </sheetData>
  <sortState xmlns:xlrd2="http://schemas.microsoft.com/office/spreadsheetml/2017/richdata2" ref="B2:L40">
    <sortCondition ref="B3:B40"/>
  </sortState>
  <pageMargins left="0.7" right="0.7" top="0.75" bottom="0.75" header="0.3" footer="0.3"/>
  <pageSetup orientation="portrait" horizontalDpi="4294967292"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D88E9-E48C-4C76-820C-03464F4A30C1}">
  <sheetPr>
    <tabColor indexed="51"/>
    <pageSetUpPr fitToPage="1"/>
  </sheetPr>
  <dimension ref="A2:R176"/>
  <sheetViews>
    <sheetView showGridLines="0" zoomScale="85" zoomScaleNormal="85" workbookViewId="0">
      <pane ySplit="4" topLeftCell="A16" activePane="bottomLeft" state="frozen"/>
      <selection activeCell="E22" sqref="E22"/>
      <selection pane="bottomLeft"/>
    </sheetView>
  </sheetViews>
  <sheetFormatPr defaultColWidth="9.140625" defaultRowHeight="15"/>
  <cols>
    <col min="1" max="1" width="5.85546875" style="424" customWidth="1"/>
    <col min="2" max="2" width="21.28515625" style="424" customWidth="1"/>
    <col min="3" max="3" width="11.85546875" style="425" customWidth="1"/>
    <col min="4" max="4" width="12.28515625" style="425" bestFit="1" customWidth="1"/>
    <col min="5" max="5" width="11.85546875" style="424" customWidth="1"/>
    <col min="6" max="6" width="10.42578125" style="425" bestFit="1" customWidth="1"/>
    <col min="7" max="7" width="84.42578125" style="424" customWidth="1"/>
    <col min="8" max="8" width="28" style="424" bestFit="1" customWidth="1"/>
    <col min="9" max="9" width="10" style="424" bestFit="1" customWidth="1"/>
    <col min="10" max="10" width="11.5703125" style="424" bestFit="1" customWidth="1"/>
    <col min="11" max="11" width="10.85546875" style="424" customWidth="1"/>
    <col min="12" max="12" width="11" style="424" customWidth="1"/>
    <col min="13" max="13" width="11.5703125" style="424" bestFit="1" customWidth="1"/>
    <col min="14" max="15" width="10.5703125" style="424" bestFit="1" customWidth="1"/>
    <col min="16" max="16" width="0" style="424" hidden="1" customWidth="1"/>
    <col min="17" max="17" width="9.5703125" style="424" bestFit="1" customWidth="1"/>
    <col min="18" max="16384" width="9.140625" style="424"/>
  </cols>
  <sheetData>
    <row r="2" spans="1:17">
      <c r="B2" s="515"/>
      <c r="C2" s="516"/>
      <c r="D2" s="516"/>
      <c r="E2" s="515"/>
      <c r="F2" s="516"/>
      <c r="G2" s="515"/>
      <c r="J2" s="515"/>
    </row>
    <row r="3" spans="1:17" ht="15" customHeight="1">
      <c r="B3" s="749" t="s">
        <v>173</v>
      </c>
      <c r="C3" s="751" t="s">
        <v>174</v>
      </c>
      <c r="D3" s="751" t="s">
        <v>175</v>
      </c>
      <c r="E3" s="513" t="s">
        <v>176</v>
      </c>
      <c r="F3" s="514" t="s">
        <v>176</v>
      </c>
      <c r="G3" s="513" t="s">
        <v>177</v>
      </c>
      <c r="H3" s="781" t="s">
        <v>178</v>
      </c>
      <c r="I3" s="779" t="s">
        <v>179</v>
      </c>
      <c r="J3" s="781" t="s">
        <v>176</v>
      </c>
      <c r="K3" s="782" t="s">
        <v>305</v>
      </c>
      <c r="L3" s="782" t="s">
        <v>709</v>
      </c>
    </row>
    <row r="4" spans="1:17">
      <c r="B4" s="750"/>
      <c r="C4" s="752"/>
      <c r="D4" s="752"/>
      <c r="E4" s="512" t="s">
        <v>180</v>
      </c>
      <c r="F4" s="512" t="s">
        <v>181</v>
      </c>
      <c r="G4" s="511" t="s">
        <v>182</v>
      </c>
      <c r="H4" s="780"/>
      <c r="I4" s="780"/>
      <c r="J4" s="780"/>
      <c r="K4" s="783"/>
      <c r="L4" s="783"/>
    </row>
    <row r="5" spans="1:17">
      <c r="B5" s="478" t="s">
        <v>183</v>
      </c>
      <c r="C5" s="510">
        <v>49755</v>
      </c>
      <c r="D5" s="510">
        <f>'Audit reconciliation'!E4</f>
        <v>50750</v>
      </c>
      <c r="E5" s="129">
        <f>+D5-C5</f>
        <v>995</v>
      </c>
      <c r="F5" s="130">
        <f>(D5-C5)/C5%</f>
        <v>2</v>
      </c>
      <c r="G5" s="476"/>
      <c r="H5" s="475"/>
      <c r="I5" s="509">
        <v>2</v>
      </c>
      <c r="J5" s="508">
        <v>995</v>
      </c>
      <c r="K5" s="131">
        <v>49755</v>
      </c>
      <c r="L5" s="502">
        <v>50750</v>
      </c>
    </row>
    <row r="6" spans="1:17">
      <c r="A6" s="753"/>
      <c r="B6" s="754" t="s">
        <v>184</v>
      </c>
      <c r="C6" s="757">
        <v>22641</v>
      </c>
      <c r="D6" s="757">
        <v>22780</v>
      </c>
      <c r="E6" s="757">
        <v>139</v>
      </c>
      <c r="F6" s="819">
        <v>0.61</v>
      </c>
      <c r="G6" s="507"/>
      <c r="H6" s="506"/>
      <c r="I6" s="505"/>
      <c r="J6" s="504"/>
      <c r="K6" s="503"/>
      <c r="L6" s="502"/>
      <c r="M6" s="426"/>
    </row>
    <row r="7" spans="1:17">
      <c r="A7" s="753"/>
      <c r="B7" s="755"/>
      <c r="C7" s="818"/>
      <c r="D7" s="818"/>
      <c r="E7" s="818"/>
      <c r="F7" s="820"/>
      <c r="G7" s="495"/>
      <c r="H7" s="494"/>
      <c r="I7" s="501"/>
      <c r="J7" s="492"/>
      <c r="K7" s="491"/>
      <c r="L7" s="490"/>
      <c r="N7" s="426"/>
    </row>
    <row r="8" spans="1:17">
      <c r="A8" s="753"/>
      <c r="B8" s="755"/>
      <c r="C8" s="818"/>
      <c r="D8" s="818"/>
      <c r="E8" s="818"/>
      <c r="F8" s="820"/>
      <c r="G8" s="456"/>
      <c r="H8" s="500"/>
      <c r="I8" s="499"/>
      <c r="J8" s="498"/>
      <c r="K8" s="497"/>
      <c r="L8" s="496"/>
    </row>
    <row r="9" spans="1:17">
      <c r="A9" s="753"/>
      <c r="B9" s="755"/>
      <c r="C9" s="818"/>
      <c r="D9" s="818"/>
      <c r="E9" s="818"/>
      <c r="F9" s="820"/>
      <c r="G9" s="495"/>
      <c r="H9" s="494"/>
      <c r="I9" s="501"/>
      <c r="J9" s="492"/>
      <c r="K9" s="491"/>
      <c r="L9" s="490"/>
      <c r="N9" s="428"/>
    </row>
    <row r="10" spans="1:17">
      <c r="A10" s="753"/>
      <c r="B10" s="755"/>
      <c r="C10" s="818"/>
      <c r="D10" s="818"/>
      <c r="E10" s="818"/>
      <c r="F10" s="820"/>
      <c r="G10" s="456"/>
      <c r="H10" s="500"/>
      <c r="I10" s="499"/>
      <c r="J10" s="498"/>
      <c r="K10" s="497"/>
      <c r="L10" s="496"/>
    </row>
    <row r="11" spans="1:17">
      <c r="A11" s="439"/>
      <c r="B11" s="755"/>
      <c r="C11" s="818"/>
      <c r="D11" s="818"/>
      <c r="E11" s="818"/>
      <c r="F11" s="820"/>
      <c r="G11" s="495"/>
      <c r="H11" s="494"/>
      <c r="I11" s="493"/>
      <c r="J11" s="492"/>
      <c r="K11" s="491"/>
      <c r="L11" s="490"/>
      <c r="M11" s="480"/>
      <c r="N11" s="480"/>
    </row>
    <row r="12" spans="1:17">
      <c r="A12" s="439"/>
      <c r="B12" s="756"/>
      <c r="C12" s="758"/>
      <c r="D12" s="758"/>
      <c r="E12" s="758"/>
      <c r="F12" s="821"/>
      <c r="G12" s="489"/>
      <c r="H12" s="488"/>
      <c r="I12" s="651"/>
      <c r="J12" s="650"/>
      <c r="K12" s="487"/>
      <c r="L12" s="486"/>
      <c r="M12" s="480"/>
      <c r="N12" s="480"/>
      <c r="Q12" s="426"/>
    </row>
    <row r="13" spans="1:17" ht="13.5" customHeight="1">
      <c r="A13" s="439"/>
      <c r="B13" s="485"/>
      <c r="C13" s="484"/>
      <c r="D13" s="484"/>
      <c r="E13" s="484"/>
      <c r="F13" s="423"/>
      <c r="G13" s="483"/>
      <c r="H13" s="482"/>
      <c r="I13" s="474" t="e">
        <v>#DIV/0!</v>
      </c>
      <c r="J13" s="473">
        <v>0</v>
      </c>
      <c r="K13" s="481">
        <v>0</v>
      </c>
      <c r="L13" s="481">
        <v>0</v>
      </c>
      <c r="M13" s="426"/>
      <c r="N13" s="480"/>
      <c r="Q13" s="426"/>
    </row>
    <row r="14" spans="1:17" ht="24" customHeight="1">
      <c r="A14" s="479"/>
      <c r="B14" s="478" t="s">
        <v>185</v>
      </c>
      <c r="C14" s="477">
        <v>10728</v>
      </c>
      <c r="D14" s="477">
        <v>11042</v>
      </c>
      <c r="E14" s="129">
        <v>314</v>
      </c>
      <c r="F14" s="130">
        <v>2.93</v>
      </c>
      <c r="G14" s="476"/>
      <c r="H14" s="475"/>
      <c r="I14" s="474">
        <v>0.111</v>
      </c>
      <c r="J14" s="473">
        <v>1106</v>
      </c>
      <c r="K14" s="472">
        <v>9936</v>
      </c>
      <c r="L14" s="472">
        <v>11042</v>
      </c>
      <c r="N14" s="428"/>
    </row>
    <row r="15" spans="1:17" ht="15" customHeight="1">
      <c r="A15" s="761"/>
      <c r="B15" s="762" t="s">
        <v>204</v>
      </c>
      <c r="C15" s="764"/>
      <c r="D15" s="764"/>
      <c r="E15" s="764"/>
      <c r="F15" s="764"/>
      <c r="G15" s="765"/>
      <c r="H15" s="444"/>
      <c r="I15" s="442"/>
      <c r="J15" s="442"/>
      <c r="K15" s="442"/>
      <c r="L15" s="471"/>
    </row>
    <row r="16" spans="1:17" ht="20.45" customHeight="1">
      <c r="A16" s="761"/>
      <c r="B16" s="763"/>
      <c r="C16" s="766"/>
      <c r="D16" s="766"/>
      <c r="E16" s="766"/>
      <c r="F16" s="766"/>
      <c r="G16" s="767"/>
      <c r="H16" s="470"/>
      <c r="I16" s="469"/>
      <c r="J16" s="468"/>
      <c r="K16" s="467"/>
      <c r="L16" s="466"/>
    </row>
    <row r="17" spans="1:15" ht="22.15" customHeight="1">
      <c r="A17" s="761"/>
      <c r="B17" s="465"/>
      <c r="C17" s="464"/>
      <c r="D17" s="464"/>
      <c r="E17" s="463"/>
      <c r="F17" s="132"/>
      <c r="G17" s="462"/>
      <c r="H17" s="461" t="s">
        <v>178</v>
      </c>
      <c r="I17" s="460" t="s">
        <v>179</v>
      </c>
      <c r="J17" s="459" t="s">
        <v>251</v>
      </c>
      <c r="K17" s="458" t="s">
        <v>305</v>
      </c>
      <c r="L17" s="458" t="s">
        <v>709</v>
      </c>
      <c r="N17" s="427"/>
    </row>
    <row r="18" spans="1:15">
      <c r="A18" s="753"/>
      <c r="B18" s="774" t="s">
        <v>186</v>
      </c>
      <c r="C18" s="776">
        <v>34749</v>
      </c>
      <c r="D18" s="771">
        <f ca="1">'Audit reconciliation'!G8</f>
        <v>62580</v>
      </c>
      <c r="E18" s="776">
        <f ca="1">+D18-C18</f>
        <v>27831</v>
      </c>
      <c r="F18" s="768">
        <f ca="1">(D18-C18)/C18%</f>
        <v>80.09</v>
      </c>
      <c r="G18" s="451" t="s">
        <v>710</v>
      </c>
      <c r="H18" s="450" t="s">
        <v>22</v>
      </c>
      <c r="I18" s="658">
        <v>-0.46400000000000002</v>
      </c>
      <c r="J18" s="659">
        <v>-451</v>
      </c>
      <c r="K18" s="537">
        <v>972</v>
      </c>
      <c r="L18" s="537">
        <v>521</v>
      </c>
      <c r="M18" s="426"/>
      <c r="N18" s="653"/>
      <c r="O18" s="538"/>
    </row>
    <row r="19" spans="1:15">
      <c r="A19" s="753"/>
      <c r="B19" s="775"/>
      <c r="C19" s="777"/>
      <c r="D19" s="772"/>
      <c r="E19" s="777"/>
      <c r="F19" s="769"/>
      <c r="G19" s="660" t="s">
        <v>722</v>
      </c>
      <c r="H19" s="661" t="s">
        <v>48</v>
      </c>
      <c r="I19" s="453">
        <v>-1</v>
      </c>
      <c r="J19" s="452">
        <v>-37</v>
      </c>
      <c r="K19" s="457">
        <v>37</v>
      </c>
      <c r="L19" s="457">
        <v>0</v>
      </c>
      <c r="M19" s="426"/>
      <c r="N19" s="653"/>
      <c r="O19" s="538"/>
    </row>
    <row r="20" spans="1:15">
      <c r="A20" s="753"/>
      <c r="B20" s="775"/>
      <c r="C20" s="777"/>
      <c r="D20" s="772"/>
      <c r="E20" s="777"/>
      <c r="F20" s="769"/>
      <c r="G20" s="451" t="s">
        <v>714</v>
      </c>
      <c r="H20" s="450" t="s">
        <v>274</v>
      </c>
      <c r="I20" s="455">
        <v>1.8048999999999999</v>
      </c>
      <c r="J20" s="454">
        <v>148</v>
      </c>
      <c r="K20" s="537">
        <v>82</v>
      </c>
      <c r="L20" s="537">
        <v>230</v>
      </c>
      <c r="M20" s="426"/>
      <c r="N20" s="427"/>
      <c r="O20" s="538"/>
    </row>
    <row r="21" spans="1:15">
      <c r="A21" s="753"/>
      <c r="B21" s="775"/>
      <c r="C21" s="777"/>
      <c r="D21" s="772"/>
      <c r="E21" s="777"/>
      <c r="F21" s="769"/>
      <c r="G21" s="448"/>
      <c r="H21" s="447" t="s">
        <v>1</v>
      </c>
      <c r="I21" s="453">
        <v>6.0900000000000003E-2</v>
      </c>
      <c r="J21" s="452">
        <v>42</v>
      </c>
      <c r="K21" s="457">
        <v>690</v>
      </c>
      <c r="L21" s="457">
        <v>732</v>
      </c>
      <c r="M21" s="426"/>
      <c r="N21" s="653"/>
      <c r="O21" s="538"/>
    </row>
    <row r="22" spans="1:15">
      <c r="A22" s="753"/>
      <c r="B22" s="775"/>
      <c r="C22" s="777"/>
      <c r="D22" s="772"/>
      <c r="E22" s="777"/>
      <c r="F22" s="769"/>
      <c r="G22" s="451" t="s">
        <v>715</v>
      </c>
      <c r="H22" s="450" t="s">
        <v>2</v>
      </c>
      <c r="I22" s="455">
        <v>0.20619999999999999</v>
      </c>
      <c r="J22" s="454">
        <v>100</v>
      </c>
      <c r="K22" s="537">
        <v>485</v>
      </c>
      <c r="L22" s="537">
        <v>585</v>
      </c>
      <c r="M22" s="426"/>
      <c r="N22" s="653"/>
      <c r="O22" s="540"/>
    </row>
    <row r="23" spans="1:15">
      <c r="A23" s="753"/>
      <c r="B23" s="775"/>
      <c r="C23" s="777"/>
      <c r="D23" s="772"/>
      <c r="E23" s="777"/>
      <c r="F23" s="769"/>
      <c r="G23" s="448"/>
      <c r="H23" s="447" t="s">
        <v>24</v>
      </c>
      <c r="I23" s="453">
        <v>5.57E-2</v>
      </c>
      <c r="J23" s="452">
        <v>21</v>
      </c>
      <c r="K23" s="457">
        <v>377</v>
      </c>
      <c r="L23" s="457">
        <v>398</v>
      </c>
      <c r="M23" s="426"/>
      <c r="N23" s="653"/>
      <c r="O23" s="538"/>
    </row>
    <row r="24" spans="1:15" ht="30">
      <c r="A24" s="753"/>
      <c r="B24" s="775"/>
      <c r="C24" s="777"/>
      <c r="D24" s="772"/>
      <c r="E24" s="777"/>
      <c r="F24" s="769"/>
      <c r="G24" s="451" t="s">
        <v>729</v>
      </c>
      <c r="H24" s="450" t="s">
        <v>25</v>
      </c>
      <c r="I24" s="455">
        <v>-0.187</v>
      </c>
      <c r="J24" s="454">
        <v>-43</v>
      </c>
      <c r="K24" s="537">
        <v>230</v>
      </c>
      <c r="L24" s="537">
        <v>187</v>
      </c>
      <c r="M24" s="426"/>
      <c r="N24" s="653"/>
      <c r="O24" s="538"/>
    </row>
    <row r="25" spans="1:15">
      <c r="A25" s="753"/>
      <c r="B25" s="775"/>
      <c r="C25" s="777"/>
      <c r="D25" s="772"/>
      <c r="E25" s="777"/>
      <c r="F25" s="769"/>
      <c r="G25" s="448" t="s">
        <v>723</v>
      </c>
      <c r="H25" s="447" t="s">
        <v>329</v>
      </c>
      <c r="I25" s="453">
        <v>0.18890000000000001</v>
      </c>
      <c r="J25" s="452">
        <v>17</v>
      </c>
      <c r="K25" s="457">
        <v>90</v>
      </c>
      <c r="L25" s="457">
        <v>107</v>
      </c>
      <c r="M25" s="426"/>
      <c r="N25" s="653"/>
      <c r="O25" s="538"/>
    </row>
    <row r="26" spans="1:15">
      <c r="A26" s="753"/>
      <c r="B26" s="775"/>
      <c r="C26" s="777"/>
      <c r="D26" s="772"/>
      <c r="E26" s="777"/>
      <c r="F26" s="769"/>
      <c r="G26" s="456" t="s">
        <v>331</v>
      </c>
      <c r="H26" s="450" t="s">
        <v>201</v>
      </c>
      <c r="I26" s="455"/>
      <c r="J26" s="454">
        <v>-53</v>
      </c>
      <c r="K26" s="537">
        <v>53</v>
      </c>
      <c r="L26" s="537">
        <v>0</v>
      </c>
      <c r="M26" s="426"/>
      <c r="N26" s="653"/>
    </row>
    <row r="27" spans="1:15">
      <c r="A27" s="753"/>
      <c r="B27" s="775"/>
      <c r="C27" s="777"/>
      <c r="D27" s="772"/>
      <c r="E27" s="777"/>
      <c r="F27" s="769"/>
      <c r="G27" s="448" t="s">
        <v>716</v>
      </c>
      <c r="H27" s="447" t="s">
        <v>405</v>
      </c>
      <c r="I27" s="453"/>
      <c r="J27" s="452"/>
      <c r="K27" s="457"/>
      <c r="L27" s="457">
        <v>162</v>
      </c>
      <c r="M27" s="426"/>
      <c r="N27" s="653"/>
    </row>
    <row r="28" spans="1:15">
      <c r="A28" s="753"/>
      <c r="B28" s="775"/>
      <c r="C28" s="777"/>
      <c r="D28" s="772"/>
      <c r="E28" s="777"/>
      <c r="F28" s="769"/>
      <c r="G28" s="451"/>
      <c r="H28" s="450" t="s">
        <v>0</v>
      </c>
      <c r="I28" s="455">
        <v>6.1199999999999997E-2</v>
      </c>
      <c r="J28" s="454">
        <v>49</v>
      </c>
      <c r="K28" s="537">
        <v>801</v>
      </c>
      <c r="L28" s="537">
        <v>850</v>
      </c>
      <c r="M28" s="426"/>
      <c r="N28" s="653"/>
      <c r="O28" s="538"/>
    </row>
    <row r="29" spans="1:15" ht="30">
      <c r="A29" s="439"/>
      <c r="B29" s="775"/>
      <c r="C29" s="777"/>
      <c r="D29" s="772"/>
      <c r="E29" s="777"/>
      <c r="F29" s="769"/>
      <c r="G29" s="662" t="s">
        <v>730</v>
      </c>
      <c r="H29" s="661" t="s">
        <v>270</v>
      </c>
      <c r="I29" s="453">
        <v>12.8969</v>
      </c>
      <c r="J29" s="452">
        <v>7003</v>
      </c>
      <c r="K29" s="457">
        <v>543</v>
      </c>
      <c r="L29" s="457">
        <v>7546</v>
      </c>
      <c r="M29" s="426"/>
      <c r="N29" s="653"/>
      <c r="O29" s="538"/>
    </row>
    <row r="30" spans="1:15" ht="30">
      <c r="A30" s="439"/>
      <c r="B30" s="775"/>
      <c r="C30" s="777"/>
      <c r="D30" s="772"/>
      <c r="E30" s="777"/>
      <c r="F30" s="769"/>
      <c r="G30" s="655" t="s">
        <v>717</v>
      </c>
      <c r="H30" s="450" t="s">
        <v>211</v>
      </c>
      <c r="I30" s="455">
        <v>-0.24249999999999999</v>
      </c>
      <c r="J30" s="454">
        <v>-2361</v>
      </c>
      <c r="K30" s="537">
        <v>9737</v>
      </c>
      <c r="L30" s="537">
        <v>7376</v>
      </c>
      <c r="M30" s="426"/>
      <c r="N30" s="653"/>
      <c r="O30" s="538"/>
    </row>
    <row r="31" spans="1:15" ht="30">
      <c r="A31" s="439"/>
      <c r="B31" s="775"/>
      <c r="C31" s="777"/>
      <c r="D31" s="772"/>
      <c r="E31" s="777"/>
      <c r="F31" s="769"/>
      <c r="G31" s="448" t="s">
        <v>724</v>
      </c>
      <c r="H31" s="447" t="s">
        <v>207</v>
      </c>
      <c r="I31" s="453">
        <v>-0.24249999999999999</v>
      </c>
      <c r="J31" s="452">
        <v>-381</v>
      </c>
      <c r="K31" s="457">
        <v>1571</v>
      </c>
      <c r="L31" s="457">
        <v>1190</v>
      </c>
      <c r="M31" s="426"/>
      <c r="N31" s="653"/>
    </row>
    <row r="32" spans="1:15">
      <c r="A32" s="439"/>
      <c r="B32" s="775"/>
      <c r="C32" s="777"/>
      <c r="D32" s="772"/>
      <c r="E32" s="777"/>
      <c r="F32" s="769"/>
      <c r="G32" s="451"/>
      <c r="H32" s="450" t="s">
        <v>23</v>
      </c>
      <c r="I32" s="455">
        <v>0</v>
      </c>
      <c r="J32" s="454">
        <v>0</v>
      </c>
      <c r="K32" s="537">
        <v>2200</v>
      </c>
      <c r="L32" s="537">
        <v>2200</v>
      </c>
      <c r="M32" s="426"/>
      <c r="N32" s="653"/>
    </row>
    <row r="33" spans="1:18" ht="30">
      <c r="A33" s="439"/>
      <c r="B33" s="775"/>
      <c r="C33" s="777"/>
      <c r="D33" s="772"/>
      <c r="E33" s="777"/>
      <c r="F33" s="769"/>
      <c r="G33" s="448" t="s">
        <v>731</v>
      </c>
      <c r="H33" s="447" t="s">
        <v>271</v>
      </c>
      <c r="I33" s="453">
        <v>0.52170000000000005</v>
      </c>
      <c r="J33" s="452">
        <v>144</v>
      </c>
      <c r="K33" s="457">
        <v>276</v>
      </c>
      <c r="L33" s="457">
        <v>420</v>
      </c>
      <c r="M33" s="426"/>
      <c r="N33" s="427"/>
    </row>
    <row r="34" spans="1:18">
      <c r="A34" s="439"/>
      <c r="B34" s="775"/>
      <c r="C34" s="777"/>
      <c r="D34" s="772"/>
      <c r="E34" s="777"/>
      <c r="F34" s="769"/>
      <c r="G34" s="451" t="s">
        <v>732</v>
      </c>
      <c r="H34" s="450" t="s">
        <v>272</v>
      </c>
      <c r="I34" s="455"/>
      <c r="J34" s="454"/>
      <c r="K34" s="537">
        <v>115</v>
      </c>
      <c r="L34" s="537">
        <v>112</v>
      </c>
      <c r="M34" s="426"/>
      <c r="N34" s="427"/>
    </row>
    <row r="35" spans="1:18">
      <c r="A35" s="439"/>
      <c r="B35" s="775"/>
      <c r="C35" s="777"/>
      <c r="D35" s="772"/>
      <c r="E35" s="777"/>
      <c r="F35" s="769"/>
      <c r="G35" s="448" t="s">
        <v>330</v>
      </c>
      <c r="H35" s="447" t="s">
        <v>252</v>
      </c>
      <c r="I35" s="453"/>
      <c r="J35" s="452">
        <v>500</v>
      </c>
      <c r="K35" s="457">
        <v>0</v>
      </c>
      <c r="L35" s="457">
        <v>500</v>
      </c>
      <c r="M35" s="426"/>
      <c r="N35" s="427"/>
      <c r="O35" s="538"/>
    </row>
    <row r="36" spans="1:18" ht="30">
      <c r="A36" s="439"/>
      <c r="B36" s="775"/>
      <c r="C36" s="777"/>
      <c r="D36" s="772"/>
      <c r="E36" s="777"/>
      <c r="F36" s="769"/>
      <c r="G36" s="451" t="s">
        <v>718</v>
      </c>
      <c r="H36" s="450" t="s">
        <v>304</v>
      </c>
      <c r="I36" s="656"/>
      <c r="J36" s="657">
        <v>-5792</v>
      </c>
      <c r="K36" s="537">
        <v>10500</v>
      </c>
      <c r="L36" s="537">
        <v>4708</v>
      </c>
      <c r="M36" s="426"/>
      <c r="N36" s="653"/>
      <c r="O36" s="428"/>
    </row>
    <row r="37" spans="1:18" ht="45">
      <c r="A37" s="439"/>
      <c r="B37" s="775"/>
      <c r="C37" s="777"/>
      <c r="D37" s="772"/>
      <c r="E37" s="777"/>
      <c r="F37" s="769"/>
      <c r="G37" s="448" t="s">
        <v>719</v>
      </c>
      <c r="H37" s="447" t="s">
        <v>708</v>
      </c>
      <c r="I37" s="446"/>
      <c r="J37" s="445">
        <v>10000</v>
      </c>
      <c r="K37" s="457">
        <v>0</v>
      </c>
      <c r="L37" s="457">
        <v>10000</v>
      </c>
      <c r="M37" s="426"/>
      <c r="N37" s="653"/>
      <c r="O37" s="539"/>
    </row>
    <row r="38" spans="1:18" ht="45">
      <c r="A38" s="439"/>
      <c r="B38" s="775"/>
      <c r="C38" s="777"/>
      <c r="D38" s="772"/>
      <c r="E38" s="777"/>
      <c r="F38" s="769"/>
      <c r="G38" s="668" t="s">
        <v>736</v>
      </c>
      <c r="H38" s="669" t="s">
        <v>332</v>
      </c>
      <c r="I38" s="670"/>
      <c r="J38" s="671">
        <v>2743</v>
      </c>
      <c r="K38" s="672">
        <v>1513</v>
      </c>
      <c r="L38" s="672">
        <v>4256</v>
      </c>
      <c r="M38" s="426"/>
      <c r="N38" s="653"/>
      <c r="O38" s="428"/>
    </row>
    <row r="39" spans="1:18" ht="30">
      <c r="A39" s="439"/>
      <c r="B39" s="775"/>
      <c r="C39" s="777"/>
      <c r="D39" s="772"/>
      <c r="E39" s="777"/>
      <c r="F39" s="769"/>
      <c r="G39" s="663" t="s">
        <v>720</v>
      </c>
      <c r="H39" s="664" t="s">
        <v>711</v>
      </c>
      <c r="I39" s="665"/>
      <c r="J39" s="666">
        <v>3300</v>
      </c>
      <c r="K39" s="667">
        <v>0</v>
      </c>
      <c r="L39" s="667">
        <v>3300</v>
      </c>
      <c r="M39" s="426"/>
      <c r="N39" s="653"/>
      <c r="O39" s="539"/>
    </row>
    <row r="40" spans="1:18" ht="30">
      <c r="A40" s="439"/>
      <c r="B40" s="775"/>
      <c r="C40" s="777"/>
      <c r="D40" s="772"/>
      <c r="E40" s="777"/>
      <c r="F40" s="769"/>
      <c r="G40" s="673" t="s">
        <v>733</v>
      </c>
      <c r="H40" s="669" t="s">
        <v>712</v>
      </c>
      <c r="I40" s="674"/>
      <c r="J40" s="675"/>
      <c r="K40" s="672"/>
      <c r="L40" s="672">
        <v>3722</v>
      </c>
      <c r="M40" s="426"/>
      <c r="N40" s="653"/>
      <c r="O40" s="539"/>
    </row>
    <row r="41" spans="1:18">
      <c r="A41" s="439"/>
      <c r="B41" s="775"/>
      <c r="C41" s="777"/>
      <c r="D41" s="772"/>
      <c r="E41" s="777"/>
      <c r="F41" s="769"/>
      <c r="G41" s="448" t="s">
        <v>734</v>
      </c>
      <c r="H41" s="447" t="s">
        <v>707</v>
      </c>
      <c r="I41" s="446"/>
      <c r="J41" s="445"/>
      <c r="K41" s="457"/>
      <c r="L41" s="457">
        <v>1800</v>
      </c>
      <c r="M41" s="426"/>
      <c r="N41" s="653"/>
      <c r="O41" s="539"/>
    </row>
    <row r="42" spans="1:18">
      <c r="A42" s="439"/>
      <c r="B42" s="775"/>
      <c r="C42" s="777"/>
      <c r="D42" s="772"/>
      <c r="E42" s="777"/>
      <c r="F42" s="769"/>
      <c r="G42" s="451" t="s">
        <v>721</v>
      </c>
      <c r="H42" s="450" t="s">
        <v>713</v>
      </c>
      <c r="I42" s="656"/>
      <c r="J42" s="657"/>
      <c r="K42" s="537"/>
      <c r="L42" s="537">
        <v>650</v>
      </c>
      <c r="M42" s="426"/>
      <c r="N42" s="653"/>
      <c r="O42" s="539"/>
    </row>
    <row r="43" spans="1:18" ht="30">
      <c r="A43" s="439"/>
      <c r="B43" s="775"/>
      <c r="C43" s="777"/>
      <c r="D43" s="772"/>
      <c r="E43" s="777"/>
      <c r="F43" s="769"/>
      <c r="G43" s="448" t="s">
        <v>735</v>
      </c>
      <c r="H43" s="447" t="s">
        <v>706</v>
      </c>
      <c r="I43" s="446"/>
      <c r="J43" s="445"/>
      <c r="K43" s="457"/>
      <c r="L43" s="457">
        <v>2088</v>
      </c>
      <c r="M43" s="426"/>
      <c r="N43" s="427"/>
      <c r="O43" s="539"/>
    </row>
    <row r="44" spans="1:18" ht="30">
      <c r="A44" s="439"/>
      <c r="B44" s="775"/>
      <c r="C44" s="777"/>
      <c r="D44" s="772"/>
      <c r="E44" s="777"/>
      <c r="F44" s="769"/>
      <c r="G44" s="451" t="s">
        <v>737</v>
      </c>
      <c r="H44" s="450" t="s">
        <v>705</v>
      </c>
      <c r="I44" s="656"/>
      <c r="J44" s="657"/>
      <c r="K44" s="537"/>
      <c r="L44" s="537">
        <v>4000</v>
      </c>
      <c r="M44" s="426"/>
      <c r="N44" s="427"/>
      <c r="O44" s="539"/>
    </row>
    <row r="45" spans="1:18">
      <c r="A45" s="439"/>
      <c r="B45" s="449"/>
      <c r="C45" s="778"/>
      <c r="D45" s="773"/>
      <c r="E45" s="778"/>
      <c r="F45" s="770"/>
      <c r="G45" s="448"/>
      <c r="H45" s="447" t="s">
        <v>5</v>
      </c>
      <c r="I45" s="446">
        <v>0.29970000000000002</v>
      </c>
      <c r="J45" s="445">
        <v>1139</v>
      </c>
      <c r="K45" s="457">
        <v>3800</v>
      </c>
      <c r="L45" s="457">
        <v>4939</v>
      </c>
      <c r="M45" s="426"/>
      <c r="N45" s="22"/>
      <c r="O45" s="539"/>
    </row>
    <row r="46" spans="1:18" ht="30" customHeight="1">
      <c r="A46" s="439"/>
      <c r="B46" s="444" t="s">
        <v>187</v>
      </c>
      <c r="C46" s="443">
        <v>113223</v>
      </c>
      <c r="D46" s="443">
        <f ca="1">'Audit reconciliation'!G9</f>
        <v>112797</v>
      </c>
      <c r="E46" s="133">
        <f ca="1">+D46-C46</f>
        <v>-426</v>
      </c>
      <c r="F46" s="134">
        <f ca="1">(D46-C46)/D46%</f>
        <v>-0.38</v>
      </c>
      <c r="G46" s="759" t="s">
        <v>333</v>
      </c>
      <c r="H46" s="442"/>
      <c r="I46" s="441"/>
      <c r="J46" s="440"/>
      <c r="K46" s="440">
        <v>34072</v>
      </c>
      <c r="L46" s="440">
        <v>62579</v>
      </c>
      <c r="M46" s="652"/>
      <c r="N46" s="427"/>
      <c r="O46" s="426"/>
      <c r="Q46" s="435"/>
    </row>
    <row r="47" spans="1:18" ht="33.75" customHeight="1">
      <c r="A47" s="439"/>
      <c r="B47" s="438" t="s">
        <v>188</v>
      </c>
      <c r="C47" s="437">
        <v>113223</v>
      </c>
      <c r="D47" s="437">
        <f ca="1">Balances!C22</f>
        <v>112797</v>
      </c>
      <c r="E47" s="129">
        <f ca="1">+D47-C47</f>
        <v>-426</v>
      </c>
      <c r="F47" s="130">
        <f ca="1">(D47-C47)/D47%</f>
        <v>-0.38</v>
      </c>
      <c r="G47" s="760"/>
      <c r="H47" s="162"/>
      <c r="I47" s="162"/>
      <c r="J47" s="436"/>
      <c r="K47" s="165"/>
      <c r="L47" s="166"/>
      <c r="M47" s="435"/>
      <c r="N47" s="427"/>
      <c r="O47" s="540"/>
      <c r="Q47" s="426"/>
      <c r="R47" s="428"/>
    </row>
    <row r="48" spans="1:18" ht="39.75" customHeight="1">
      <c r="B48" s="167" t="s">
        <v>196</v>
      </c>
      <c r="C48" s="129">
        <v>219835</v>
      </c>
      <c r="D48" s="129">
        <f>'Asset Register'!H93</f>
        <v>222288</v>
      </c>
      <c r="E48" s="129">
        <f>+D48-C48</f>
        <v>2453</v>
      </c>
      <c r="F48" s="130">
        <f>(D48-C48)/D48%</f>
        <v>1.1000000000000001</v>
      </c>
      <c r="G48" s="434"/>
      <c r="H48" s="163"/>
      <c r="I48" s="164"/>
      <c r="J48" s="433"/>
      <c r="K48" s="432"/>
      <c r="L48" s="431"/>
      <c r="M48" s="137"/>
      <c r="N48" s="430"/>
      <c r="O48" s="426"/>
      <c r="Q48" s="428"/>
    </row>
    <row r="49" spans="1:17" ht="27" customHeight="1">
      <c r="D49" s="429">
        <f ca="1">D18+D14</f>
        <v>0</v>
      </c>
      <c r="H49" s="135"/>
      <c r="I49" s="135"/>
      <c r="K49" s="426"/>
      <c r="L49" s="426"/>
      <c r="M49" s="428"/>
      <c r="N49" s="653"/>
      <c r="Q49" s="426"/>
    </row>
    <row r="50" spans="1:17">
      <c r="L50" s="426"/>
      <c r="N50" s="654"/>
    </row>
    <row r="51" spans="1:17">
      <c r="K51" s="426"/>
      <c r="L51" s="426"/>
    </row>
    <row r="54" spans="1:17">
      <c r="N54" s="654"/>
    </row>
    <row r="56" spans="1:17">
      <c r="N56" s="654"/>
    </row>
    <row r="64" spans="1:17" s="136" customFormat="1">
      <c r="A64" s="424"/>
      <c r="B64" s="424"/>
      <c r="C64" s="425"/>
      <c r="D64" s="425"/>
      <c r="E64" s="424"/>
      <c r="F64" s="425"/>
      <c r="G64" s="424"/>
      <c r="H64" s="424"/>
      <c r="I64" s="424"/>
      <c r="J64" s="424"/>
      <c r="K64" s="424"/>
      <c r="L64" s="424"/>
      <c r="M64" s="424"/>
      <c r="N64" s="424"/>
    </row>
    <row r="65" spans="1:14" s="136" customFormat="1">
      <c r="A65" s="424"/>
      <c r="B65" s="424"/>
      <c r="C65" s="425"/>
      <c r="D65" s="425"/>
      <c r="E65" s="424"/>
      <c r="F65" s="425"/>
      <c r="G65" s="424"/>
      <c r="H65" s="424"/>
      <c r="I65" s="424"/>
      <c r="J65" s="424"/>
      <c r="K65" s="424"/>
      <c r="L65" s="424"/>
      <c r="M65" s="424"/>
      <c r="N65" s="424"/>
    </row>
    <row r="66" spans="1:14" s="136" customFormat="1">
      <c r="A66" s="424"/>
      <c r="B66" s="424"/>
      <c r="C66" s="425"/>
      <c r="D66" s="425"/>
      <c r="E66" s="424"/>
      <c r="F66" s="425"/>
      <c r="G66" s="424"/>
      <c r="H66" s="424"/>
      <c r="I66" s="424"/>
      <c r="J66" s="424"/>
      <c r="K66" s="424"/>
      <c r="L66" s="424"/>
      <c r="M66" s="424"/>
      <c r="N66" s="424"/>
    </row>
    <row r="67" spans="1:14" s="136" customFormat="1">
      <c r="A67" s="424"/>
      <c r="B67" s="424"/>
      <c r="C67" s="425"/>
      <c r="D67" s="425"/>
      <c r="E67" s="424"/>
      <c r="F67" s="425"/>
      <c r="G67" s="424"/>
      <c r="H67" s="424"/>
      <c r="I67" s="424"/>
      <c r="J67" s="424"/>
      <c r="K67" s="424"/>
      <c r="L67" s="424"/>
      <c r="M67" s="424"/>
      <c r="N67" s="424"/>
    </row>
    <row r="68" spans="1:14" s="136" customFormat="1">
      <c r="A68" s="424"/>
      <c r="B68" s="424"/>
      <c r="C68" s="425"/>
      <c r="D68" s="425"/>
      <c r="E68" s="424"/>
      <c r="F68" s="425"/>
      <c r="G68" s="424"/>
      <c r="H68" s="424"/>
      <c r="I68" s="424"/>
      <c r="J68" s="424"/>
      <c r="K68" s="424"/>
      <c r="L68" s="424"/>
      <c r="M68" s="424"/>
      <c r="N68" s="424"/>
    </row>
    <row r="69" spans="1:14" s="136" customFormat="1">
      <c r="A69" s="424"/>
      <c r="B69" s="424"/>
      <c r="C69" s="425"/>
      <c r="D69" s="425"/>
      <c r="E69" s="424"/>
      <c r="F69" s="425"/>
      <c r="G69" s="424"/>
      <c r="H69" s="424"/>
      <c r="I69" s="424"/>
      <c r="J69" s="424"/>
      <c r="K69" s="424"/>
      <c r="L69" s="424"/>
      <c r="M69" s="424"/>
      <c r="N69" s="424"/>
    </row>
    <row r="70" spans="1:14" s="136" customFormat="1">
      <c r="A70" s="424"/>
      <c r="B70" s="424"/>
      <c r="C70" s="425"/>
      <c r="D70" s="425"/>
      <c r="E70" s="424"/>
      <c r="F70" s="425"/>
      <c r="G70" s="424"/>
      <c r="H70" s="424"/>
      <c r="I70" s="424"/>
      <c r="J70" s="424"/>
      <c r="K70" s="424"/>
      <c r="L70" s="424"/>
      <c r="M70" s="424"/>
      <c r="N70" s="424"/>
    </row>
    <row r="71" spans="1:14" s="136" customFormat="1">
      <c r="A71" s="424"/>
      <c r="B71" s="424"/>
      <c r="C71" s="425"/>
      <c r="D71" s="425"/>
      <c r="E71" s="424"/>
      <c r="F71" s="425"/>
      <c r="G71" s="424"/>
      <c r="H71" s="424"/>
      <c r="I71" s="424"/>
      <c r="J71" s="424"/>
      <c r="K71" s="424"/>
      <c r="L71" s="424"/>
      <c r="M71" s="424"/>
      <c r="N71" s="424"/>
    </row>
    <row r="72" spans="1:14" s="136" customFormat="1">
      <c r="A72" s="424"/>
      <c r="B72" s="424"/>
      <c r="C72" s="425"/>
      <c r="D72" s="425"/>
      <c r="E72" s="424"/>
      <c r="F72" s="425"/>
      <c r="G72" s="424"/>
      <c r="H72" s="424"/>
      <c r="I72" s="424"/>
      <c r="J72" s="424"/>
      <c r="K72" s="424"/>
      <c r="L72" s="424"/>
      <c r="M72" s="424"/>
      <c r="N72" s="424"/>
    </row>
    <row r="73" spans="1:14" s="136" customFormat="1">
      <c r="A73" s="424"/>
      <c r="B73" s="424"/>
      <c r="C73" s="425"/>
      <c r="D73" s="425"/>
      <c r="E73" s="424"/>
      <c r="F73" s="425"/>
      <c r="G73" s="424"/>
      <c r="H73" s="424"/>
      <c r="I73" s="424"/>
      <c r="J73" s="424"/>
      <c r="K73" s="424"/>
      <c r="L73" s="424"/>
      <c r="M73" s="424"/>
      <c r="N73" s="424"/>
    </row>
    <row r="74" spans="1:14" s="136" customFormat="1">
      <c r="A74" s="424"/>
      <c r="B74" s="424"/>
      <c r="C74" s="425"/>
      <c r="D74" s="425"/>
      <c r="E74" s="424"/>
      <c r="F74" s="425"/>
      <c r="G74" s="424"/>
      <c r="H74" s="424"/>
      <c r="I74" s="424"/>
      <c r="J74" s="424"/>
      <c r="K74" s="424"/>
      <c r="L74" s="424"/>
      <c r="M74" s="424"/>
      <c r="N74" s="424"/>
    </row>
    <row r="75" spans="1:14" s="136" customFormat="1">
      <c r="A75" s="424"/>
      <c r="B75" s="424"/>
      <c r="C75" s="425"/>
      <c r="D75" s="425"/>
      <c r="E75" s="424"/>
      <c r="F75" s="425"/>
      <c r="G75" s="424"/>
      <c r="H75" s="424"/>
      <c r="I75" s="424"/>
      <c r="J75" s="424"/>
      <c r="K75" s="424"/>
      <c r="L75" s="424"/>
      <c r="M75" s="424"/>
      <c r="N75" s="424"/>
    </row>
    <row r="76" spans="1:14" s="136" customFormat="1">
      <c r="A76" s="424"/>
      <c r="B76" s="424"/>
      <c r="C76" s="425"/>
      <c r="D76" s="425"/>
      <c r="E76" s="424"/>
      <c r="F76" s="425"/>
      <c r="G76" s="424"/>
      <c r="H76" s="424"/>
      <c r="I76" s="424"/>
      <c r="J76" s="424"/>
      <c r="K76" s="424"/>
      <c r="L76" s="424"/>
      <c r="M76" s="424"/>
      <c r="N76" s="424"/>
    </row>
    <row r="77" spans="1:14" s="136" customFormat="1">
      <c r="A77" s="424"/>
      <c r="B77" s="424"/>
      <c r="C77" s="425"/>
      <c r="D77" s="425"/>
      <c r="E77" s="424"/>
      <c r="F77" s="425"/>
      <c r="G77" s="424"/>
      <c r="H77" s="424"/>
      <c r="I77" s="424"/>
      <c r="J77" s="424"/>
      <c r="K77" s="424"/>
      <c r="L77" s="424"/>
      <c r="M77" s="424"/>
      <c r="N77" s="424"/>
    </row>
    <row r="78" spans="1:14" s="136" customFormat="1">
      <c r="A78" s="424"/>
      <c r="B78" s="424"/>
      <c r="C78" s="425"/>
      <c r="D78" s="425"/>
      <c r="E78" s="424"/>
      <c r="F78" s="425"/>
      <c r="G78" s="424"/>
      <c r="H78" s="424"/>
      <c r="I78" s="424"/>
      <c r="J78" s="424"/>
      <c r="K78" s="424"/>
      <c r="L78" s="424"/>
      <c r="M78" s="424"/>
      <c r="N78" s="424"/>
    </row>
    <row r="79" spans="1:14" s="136" customFormat="1">
      <c r="A79" s="424"/>
      <c r="B79" s="424"/>
      <c r="C79" s="425"/>
      <c r="D79" s="425"/>
      <c r="E79" s="424"/>
      <c r="F79" s="425"/>
      <c r="G79" s="424"/>
      <c r="H79" s="424"/>
      <c r="I79" s="424"/>
      <c r="J79" s="424"/>
      <c r="K79" s="424"/>
      <c r="L79" s="424"/>
      <c r="M79" s="424"/>
      <c r="N79" s="424"/>
    </row>
    <row r="80" spans="1:14" s="136" customFormat="1">
      <c r="A80" s="424"/>
      <c r="B80" s="424"/>
      <c r="C80" s="425"/>
      <c r="D80" s="425"/>
      <c r="E80" s="424"/>
      <c r="F80" s="425"/>
      <c r="G80" s="424"/>
      <c r="H80" s="424"/>
      <c r="I80" s="424"/>
      <c r="J80" s="424"/>
      <c r="K80" s="424"/>
      <c r="L80" s="424"/>
      <c r="M80" s="424"/>
      <c r="N80" s="424"/>
    </row>
    <row r="81" spans="1:14" s="136" customFormat="1">
      <c r="A81" s="424"/>
      <c r="B81" s="424"/>
      <c r="C81" s="425"/>
      <c r="D81" s="425"/>
      <c r="E81" s="424"/>
      <c r="F81" s="425"/>
      <c r="G81" s="424"/>
      <c r="H81" s="424"/>
      <c r="I81" s="424"/>
      <c r="J81" s="424"/>
      <c r="K81" s="424"/>
      <c r="L81" s="424"/>
      <c r="M81" s="424"/>
      <c r="N81" s="424"/>
    </row>
    <row r="82" spans="1:14" s="136" customFormat="1">
      <c r="A82" s="424"/>
      <c r="B82" s="424"/>
      <c r="C82" s="425"/>
      <c r="D82" s="425"/>
      <c r="E82" s="424"/>
      <c r="F82" s="425"/>
      <c r="G82" s="424"/>
      <c r="H82" s="424"/>
      <c r="I82" s="424"/>
      <c r="J82" s="424"/>
      <c r="K82" s="424"/>
      <c r="L82" s="424"/>
      <c r="M82" s="424"/>
      <c r="N82" s="424"/>
    </row>
    <row r="83" spans="1:14" s="136" customFormat="1">
      <c r="A83" s="424"/>
      <c r="B83" s="424"/>
      <c r="C83" s="425"/>
      <c r="D83" s="425"/>
      <c r="E83" s="424"/>
      <c r="F83" s="425"/>
      <c r="G83" s="424"/>
      <c r="H83" s="424"/>
      <c r="I83" s="424"/>
      <c r="J83" s="424"/>
      <c r="K83" s="424"/>
      <c r="L83" s="424"/>
      <c r="M83" s="424"/>
      <c r="N83" s="424"/>
    </row>
    <row r="84" spans="1:14" s="136" customFormat="1">
      <c r="A84" s="424"/>
      <c r="B84" s="424"/>
      <c r="C84" s="425"/>
      <c r="D84" s="425"/>
      <c r="E84" s="424"/>
      <c r="F84" s="425"/>
      <c r="G84" s="424"/>
      <c r="H84" s="424"/>
      <c r="I84" s="424"/>
      <c r="J84" s="424"/>
      <c r="K84" s="424"/>
      <c r="L84" s="424"/>
      <c r="M84" s="424"/>
      <c r="N84" s="424"/>
    </row>
    <row r="85" spans="1:14" s="136" customFormat="1">
      <c r="A85" s="424"/>
      <c r="B85" s="424"/>
      <c r="C85" s="425"/>
      <c r="D85" s="425"/>
      <c r="E85" s="424"/>
      <c r="F85" s="425"/>
      <c r="G85" s="424"/>
      <c r="H85" s="424"/>
      <c r="I85" s="424"/>
      <c r="J85" s="424"/>
      <c r="K85" s="424"/>
      <c r="L85" s="424"/>
      <c r="M85" s="424"/>
      <c r="N85" s="424"/>
    </row>
    <row r="86" spans="1:14" s="136" customFormat="1">
      <c r="A86" s="424"/>
      <c r="B86" s="424"/>
      <c r="C86" s="425"/>
      <c r="D86" s="425"/>
      <c r="E86" s="424"/>
      <c r="F86" s="425"/>
      <c r="G86" s="424"/>
      <c r="H86" s="424"/>
      <c r="I86" s="424"/>
      <c r="J86" s="424"/>
      <c r="K86" s="424"/>
      <c r="L86" s="424"/>
      <c r="M86" s="424"/>
      <c r="N86" s="424"/>
    </row>
    <row r="87" spans="1:14" s="136" customFormat="1">
      <c r="A87" s="424"/>
      <c r="B87" s="424"/>
      <c r="C87" s="425"/>
      <c r="D87" s="425"/>
      <c r="E87" s="424"/>
      <c r="F87" s="425"/>
      <c r="G87" s="424"/>
      <c r="H87" s="424"/>
      <c r="I87" s="424"/>
      <c r="J87" s="424"/>
      <c r="K87" s="424"/>
      <c r="L87" s="424"/>
      <c r="M87" s="424"/>
      <c r="N87" s="424"/>
    </row>
    <row r="88" spans="1:14" s="136" customFormat="1">
      <c r="A88" s="424"/>
      <c r="B88" s="424"/>
      <c r="C88" s="425"/>
      <c r="D88" s="425"/>
      <c r="E88" s="424"/>
      <c r="F88" s="425"/>
      <c r="G88" s="424"/>
      <c r="H88" s="424"/>
      <c r="I88" s="424"/>
      <c r="J88" s="424"/>
      <c r="K88" s="424"/>
      <c r="L88" s="424"/>
      <c r="M88" s="424"/>
      <c r="N88" s="424"/>
    </row>
    <row r="89" spans="1:14" s="136" customFormat="1">
      <c r="A89" s="424"/>
      <c r="B89" s="424"/>
      <c r="C89" s="425"/>
      <c r="D89" s="425"/>
      <c r="E89" s="424"/>
      <c r="F89" s="425"/>
      <c r="G89" s="424"/>
      <c r="H89" s="424"/>
      <c r="I89" s="424"/>
      <c r="J89" s="424"/>
      <c r="K89" s="424"/>
      <c r="L89" s="424"/>
      <c r="M89" s="424"/>
      <c r="N89" s="424"/>
    </row>
    <row r="90" spans="1:14" s="136" customFormat="1">
      <c r="A90" s="424"/>
      <c r="B90" s="424"/>
      <c r="C90" s="425"/>
      <c r="D90" s="425"/>
      <c r="E90" s="424"/>
      <c r="F90" s="425"/>
      <c r="G90" s="424"/>
      <c r="H90" s="424"/>
      <c r="I90" s="424"/>
      <c r="J90" s="424"/>
      <c r="K90" s="424"/>
      <c r="L90" s="424"/>
      <c r="M90" s="424"/>
      <c r="N90" s="424"/>
    </row>
    <row r="91" spans="1:14" s="136" customFormat="1">
      <c r="A91" s="424"/>
      <c r="B91" s="424"/>
      <c r="C91" s="425"/>
      <c r="D91" s="425"/>
      <c r="E91" s="424"/>
      <c r="F91" s="425"/>
      <c r="G91" s="424"/>
      <c r="H91" s="424"/>
      <c r="I91" s="424"/>
      <c r="J91" s="424"/>
      <c r="K91" s="424"/>
      <c r="L91" s="424"/>
      <c r="M91" s="424"/>
      <c r="N91" s="424"/>
    </row>
    <row r="92" spans="1:14" s="136" customFormat="1">
      <c r="A92" s="424"/>
      <c r="B92" s="424"/>
      <c r="C92" s="425"/>
      <c r="D92" s="425"/>
      <c r="E92" s="424"/>
      <c r="F92" s="425"/>
      <c r="G92" s="424"/>
      <c r="H92" s="424"/>
      <c r="I92" s="424"/>
      <c r="J92" s="424"/>
      <c r="K92" s="424"/>
      <c r="L92" s="424"/>
      <c r="M92" s="424"/>
      <c r="N92" s="424"/>
    </row>
    <row r="93" spans="1:14" s="136" customFormat="1">
      <c r="A93" s="424"/>
      <c r="B93" s="424"/>
      <c r="C93" s="425"/>
      <c r="D93" s="425"/>
      <c r="E93" s="424"/>
      <c r="F93" s="425"/>
      <c r="G93" s="424"/>
      <c r="H93" s="424"/>
      <c r="I93" s="424"/>
      <c r="J93" s="424"/>
      <c r="K93" s="424"/>
      <c r="L93" s="424"/>
      <c r="M93" s="424"/>
      <c r="N93" s="424"/>
    </row>
    <row r="94" spans="1:14" s="136" customFormat="1">
      <c r="A94" s="424"/>
      <c r="B94" s="424"/>
      <c r="C94" s="425"/>
      <c r="D94" s="425"/>
      <c r="E94" s="424"/>
      <c r="F94" s="425"/>
      <c r="G94" s="424"/>
      <c r="H94" s="424"/>
      <c r="I94" s="424"/>
      <c r="J94" s="424"/>
      <c r="K94" s="424"/>
      <c r="L94" s="424"/>
      <c r="M94" s="424"/>
      <c r="N94" s="424"/>
    </row>
    <row r="95" spans="1:14" s="136" customFormat="1">
      <c r="A95" s="424"/>
      <c r="B95" s="424"/>
      <c r="C95" s="425"/>
      <c r="D95" s="425"/>
      <c r="E95" s="424"/>
      <c r="F95" s="425"/>
      <c r="G95" s="424"/>
      <c r="H95" s="424"/>
      <c r="I95" s="424"/>
      <c r="J95" s="424"/>
      <c r="K95" s="424"/>
      <c r="L95" s="424"/>
      <c r="M95" s="424"/>
      <c r="N95" s="424"/>
    </row>
    <row r="96" spans="1:14" s="136" customFormat="1">
      <c r="A96" s="424"/>
      <c r="B96" s="424"/>
      <c r="C96" s="425"/>
      <c r="D96" s="425"/>
      <c r="E96" s="424"/>
      <c r="F96" s="425"/>
      <c r="G96" s="424"/>
      <c r="H96" s="424"/>
      <c r="I96" s="424"/>
      <c r="J96" s="424"/>
      <c r="K96" s="424"/>
      <c r="L96" s="424"/>
      <c r="M96" s="424"/>
      <c r="N96" s="424"/>
    </row>
    <row r="97" spans="1:14" s="136" customFormat="1">
      <c r="A97" s="424"/>
      <c r="B97" s="424"/>
      <c r="C97" s="425"/>
      <c r="D97" s="425"/>
      <c r="E97" s="424"/>
      <c r="F97" s="425"/>
      <c r="G97" s="424"/>
      <c r="H97" s="424"/>
      <c r="I97" s="424"/>
      <c r="J97" s="424"/>
      <c r="K97" s="424"/>
      <c r="L97" s="424"/>
      <c r="M97" s="424"/>
      <c r="N97" s="424"/>
    </row>
    <row r="98" spans="1:14" s="136" customFormat="1">
      <c r="A98" s="424"/>
      <c r="B98" s="424"/>
      <c r="C98" s="425"/>
      <c r="D98" s="425"/>
      <c r="E98" s="424"/>
      <c r="F98" s="425"/>
      <c r="G98" s="424"/>
      <c r="H98" s="424"/>
      <c r="I98" s="424"/>
      <c r="J98" s="424"/>
      <c r="K98" s="424"/>
      <c r="L98" s="424"/>
      <c r="M98" s="424"/>
      <c r="N98" s="424"/>
    </row>
    <row r="99" spans="1:14" s="136" customFormat="1">
      <c r="A99" s="424"/>
      <c r="B99" s="424"/>
      <c r="C99" s="425"/>
      <c r="D99" s="425"/>
      <c r="E99" s="424"/>
      <c r="F99" s="425"/>
      <c r="G99" s="424"/>
      <c r="H99" s="424"/>
      <c r="I99" s="424"/>
      <c r="J99" s="424"/>
      <c r="K99" s="424"/>
      <c r="L99" s="424"/>
      <c r="M99" s="424"/>
      <c r="N99" s="424"/>
    </row>
    <row r="100" spans="1:14" s="136" customFormat="1">
      <c r="A100" s="424"/>
      <c r="B100" s="424"/>
      <c r="C100" s="425"/>
      <c r="D100" s="425"/>
      <c r="E100" s="424"/>
      <c r="F100" s="425"/>
      <c r="G100" s="424"/>
      <c r="H100" s="424"/>
      <c r="I100" s="424"/>
      <c r="J100" s="424"/>
      <c r="K100" s="424"/>
      <c r="L100" s="424"/>
      <c r="M100" s="424"/>
      <c r="N100" s="424"/>
    </row>
    <row r="101" spans="1:14" s="136" customFormat="1">
      <c r="A101" s="424"/>
      <c r="B101" s="424"/>
      <c r="C101" s="425"/>
      <c r="D101" s="425"/>
      <c r="E101" s="424"/>
      <c r="F101" s="425"/>
      <c r="G101" s="424"/>
      <c r="H101" s="424"/>
      <c r="I101" s="424"/>
      <c r="J101" s="424"/>
      <c r="K101" s="424"/>
      <c r="L101" s="424"/>
      <c r="M101" s="424"/>
      <c r="N101" s="424"/>
    </row>
    <row r="102" spans="1:14" s="136" customFormat="1">
      <c r="A102" s="424"/>
      <c r="B102" s="424"/>
      <c r="C102" s="425"/>
      <c r="D102" s="425"/>
      <c r="E102" s="424"/>
      <c r="F102" s="425"/>
      <c r="G102" s="424"/>
      <c r="H102" s="424"/>
      <c r="I102" s="424"/>
      <c r="J102" s="424"/>
      <c r="K102" s="424"/>
      <c r="L102" s="424"/>
      <c r="M102" s="424"/>
      <c r="N102" s="424"/>
    </row>
    <row r="103" spans="1:14" s="136" customFormat="1">
      <c r="A103" s="424"/>
      <c r="B103" s="424"/>
      <c r="C103" s="425"/>
      <c r="D103" s="425"/>
      <c r="E103" s="424"/>
      <c r="F103" s="425"/>
      <c r="G103" s="424"/>
      <c r="H103" s="424"/>
      <c r="I103" s="424"/>
      <c r="J103" s="424"/>
      <c r="K103" s="424"/>
      <c r="L103" s="424"/>
      <c r="M103" s="424"/>
      <c r="N103" s="424"/>
    </row>
    <row r="104" spans="1:14" s="136" customFormat="1">
      <c r="A104" s="424"/>
      <c r="B104" s="424"/>
      <c r="C104" s="425"/>
      <c r="D104" s="425"/>
      <c r="E104" s="424"/>
      <c r="F104" s="425"/>
      <c r="G104" s="424"/>
      <c r="H104" s="424"/>
      <c r="I104" s="424"/>
      <c r="J104" s="424"/>
      <c r="K104" s="424"/>
      <c r="L104" s="424"/>
      <c r="M104" s="424"/>
      <c r="N104" s="424"/>
    </row>
    <row r="105" spans="1:14" s="136" customFormat="1">
      <c r="A105" s="424"/>
      <c r="B105" s="424"/>
      <c r="C105" s="425"/>
      <c r="D105" s="425"/>
      <c r="E105" s="424"/>
      <c r="F105" s="425"/>
      <c r="G105" s="424"/>
      <c r="H105" s="424"/>
      <c r="I105" s="424"/>
      <c r="J105" s="424"/>
      <c r="K105" s="424"/>
      <c r="L105" s="424"/>
      <c r="M105" s="424"/>
      <c r="N105" s="424"/>
    </row>
    <row r="106" spans="1:14" s="136" customFormat="1">
      <c r="A106" s="424"/>
      <c r="B106" s="424"/>
      <c r="C106" s="425"/>
      <c r="D106" s="425"/>
      <c r="E106" s="424"/>
      <c r="F106" s="425"/>
      <c r="G106" s="424"/>
      <c r="H106" s="424"/>
      <c r="I106" s="424"/>
      <c r="J106" s="424"/>
      <c r="K106" s="424"/>
      <c r="L106" s="424"/>
      <c r="M106" s="424"/>
      <c r="N106" s="424"/>
    </row>
    <row r="107" spans="1:14" s="136" customFormat="1">
      <c r="A107" s="424"/>
      <c r="B107" s="424"/>
      <c r="C107" s="425"/>
      <c r="D107" s="425"/>
      <c r="E107" s="424"/>
      <c r="F107" s="425"/>
      <c r="G107" s="424"/>
      <c r="H107" s="424"/>
      <c r="I107" s="424"/>
      <c r="J107" s="424"/>
      <c r="K107" s="424"/>
      <c r="L107" s="424"/>
      <c r="M107" s="424"/>
      <c r="N107" s="424"/>
    </row>
    <row r="108" spans="1:14" s="136" customFormat="1">
      <c r="A108" s="424"/>
      <c r="B108" s="424"/>
      <c r="C108" s="425"/>
      <c r="D108" s="425"/>
      <c r="E108" s="424"/>
      <c r="F108" s="425"/>
      <c r="G108" s="424"/>
      <c r="H108" s="424"/>
      <c r="I108" s="424"/>
      <c r="J108" s="424"/>
      <c r="K108" s="424"/>
      <c r="L108" s="424"/>
      <c r="M108" s="424"/>
      <c r="N108" s="424"/>
    </row>
    <row r="109" spans="1:14" s="136" customFormat="1">
      <c r="A109" s="424"/>
      <c r="B109" s="424"/>
      <c r="C109" s="425"/>
      <c r="D109" s="425"/>
      <c r="E109" s="424"/>
      <c r="F109" s="425"/>
      <c r="G109" s="424"/>
      <c r="H109" s="424"/>
      <c r="I109" s="424"/>
      <c r="J109" s="424"/>
      <c r="K109" s="424"/>
      <c r="L109" s="424"/>
      <c r="M109" s="424"/>
      <c r="N109" s="424"/>
    </row>
    <row r="110" spans="1:14" s="136" customFormat="1">
      <c r="A110" s="424"/>
      <c r="B110" s="424"/>
      <c r="C110" s="425"/>
      <c r="D110" s="425"/>
      <c r="E110" s="424"/>
      <c r="F110" s="425"/>
      <c r="G110" s="424"/>
      <c r="H110" s="424"/>
      <c r="I110" s="424"/>
      <c r="J110" s="424"/>
      <c r="K110" s="424"/>
      <c r="L110" s="424"/>
      <c r="M110" s="424"/>
      <c r="N110" s="424"/>
    </row>
    <row r="111" spans="1:14" s="136" customFormat="1">
      <c r="A111" s="424"/>
      <c r="B111" s="424"/>
      <c r="C111" s="425"/>
      <c r="D111" s="425"/>
      <c r="E111" s="424"/>
      <c r="F111" s="425"/>
      <c r="G111" s="424"/>
      <c r="H111" s="424"/>
      <c r="I111" s="424"/>
      <c r="J111" s="424"/>
      <c r="K111" s="424"/>
      <c r="L111" s="424"/>
      <c r="M111" s="424"/>
      <c r="N111" s="424"/>
    </row>
    <row r="112" spans="1:14" s="136" customFormat="1">
      <c r="A112" s="424"/>
      <c r="B112" s="424"/>
      <c r="C112" s="425"/>
      <c r="D112" s="425"/>
      <c r="E112" s="424"/>
      <c r="F112" s="425"/>
      <c r="G112" s="424"/>
      <c r="H112" s="424"/>
      <c r="I112" s="424"/>
      <c r="J112" s="424"/>
      <c r="K112" s="424"/>
      <c r="L112" s="424"/>
      <c r="M112" s="424"/>
      <c r="N112" s="424"/>
    </row>
    <row r="113" spans="1:14" s="136" customFormat="1">
      <c r="A113" s="424"/>
      <c r="B113" s="424"/>
      <c r="C113" s="425"/>
      <c r="D113" s="425"/>
      <c r="E113" s="424"/>
      <c r="F113" s="425"/>
      <c r="G113" s="424"/>
      <c r="H113" s="424"/>
      <c r="I113" s="424"/>
      <c r="J113" s="424"/>
      <c r="K113" s="424"/>
      <c r="L113" s="424"/>
      <c r="M113" s="424"/>
      <c r="N113" s="424"/>
    </row>
    <row r="114" spans="1:14" s="136" customFormat="1">
      <c r="A114" s="424"/>
      <c r="B114" s="424"/>
      <c r="C114" s="425"/>
      <c r="D114" s="425"/>
      <c r="E114" s="424"/>
      <c r="F114" s="425"/>
      <c r="G114" s="424"/>
      <c r="H114" s="424"/>
      <c r="I114" s="424"/>
      <c r="J114" s="424"/>
      <c r="K114" s="424"/>
      <c r="L114" s="424"/>
      <c r="M114" s="424"/>
      <c r="N114" s="424"/>
    </row>
    <row r="115" spans="1:14" s="136" customFormat="1">
      <c r="A115" s="424"/>
      <c r="B115" s="424"/>
      <c r="C115" s="425"/>
      <c r="D115" s="425"/>
      <c r="E115" s="424"/>
      <c r="F115" s="425"/>
      <c r="G115" s="424"/>
      <c r="H115" s="424"/>
      <c r="I115" s="424"/>
      <c r="J115" s="424"/>
      <c r="K115" s="424"/>
      <c r="L115" s="424"/>
      <c r="M115" s="424"/>
      <c r="N115" s="424"/>
    </row>
    <row r="116" spans="1:14" s="136" customFormat="1">
      <c r="A116" s="424"/>
      <c r="B116" s="424"/>
      <c r="C116" s="425"/>
      <c r="D116" s="425"/>
      <c r="E116" s="424"/>
      <c r="F116" s="425"/>
      <c r="G116" s="424"/>
      <c r="H116" s="424"/>
      <c r="I116" s="424"/>
      <c r="J116" s="424"/>
      <c r="K116" s="424"/>
      <c r="L116" s="424"/>
      <c r="M116" s="424"/>
      <c r="N116" s="424"/>
    </row>
    <row r="117" spans="1:14" s="136" customFormat="1">
      <c r="A117" s="424"/>
      <c r="B117" s="424"/>
      <c r="C117" s="425"/>
      <c r="D117" s="425"/>
      <c r="E117" s="424"/>
      <c r="F117" s="425"/>
      <c r="G117" s="424"/>
      <c r="H117" s="424"/>
      <c r="I117" s="424"/>
      <c r="J117" s="424"/>
      <c r="K117" s="424"/>
      <c r="L117" s="424"/>
      <c r="M117" s="424"/>
      <c r="N117" s="424"/>
    </row>
    <row r="118" spans="1:14" s="136" customFormat="1">
      <c r="A118" s="424"/>
      <c r="B118" s="424"/>
      <c r="C118" s="425"/>
      <c r="D118" s="425"/>
      <c r="E118" s="424"/>
      <c r="F118" s="425"/>
      <c r="G118" s="424"/>
      <c r="H118" s="424"/>
      <c r="I118" s="424"/>
      <c r="J118" s="424"/>
      <c r="K118" s="424"/>
      <c r="L118" s="424"/>
      <c r="M118" s="424"/>
      <c r="N118" s="424"/>
    </row>
    <row r="119" spans="1:14" s="136" customFormat="1">
      <c r="A119" s="424"/>
      <c r="B119" s="424"/>
      <c r="C119" s="425"/>
      <c r="D119" s="425"/>
      <c r="E119" s="424"/>
      <c r="F119" s="425"/>
      <c r="G119" s="424"/>
      <c r="H119" s="424"/>
      <c r="I119" s="424"/>
      <c r="J119" s="424"/>
      <c r="K119" s="424"/>
      <c r="L119" s="424"/>
      <c r="M119" s="424"/>
      <c r="N119" s="424"/>
    </row>
    <row r="120" spans="1:14" s="136" customFormat="1">
      <c r="A120" s="424"/>
      <c r="B120" s="424"/>
      <c r="C120" s="425"/>
      <c r="D120" s="425"/>
      <c r="E120" s="424"/>
      <c r="F120" s="425"/>
      <c r="G120" s="424"/>
      <c r="H120" s="424"/>
      <c r="I120" s="424"/>
      <c r="J120" s="424"/>
      <c r="K120" s="424"/>
      <c r="L120" s="424"/>
      <c r="M120" s="424"/>
      <c r="N120" s="424"/>
    </row>
    <row r="121" spans="1:14" s="136" customFormat="1">
      <c r="A121" s="424"/>
      <c r="B121" s="424"/>
      <c r="C121" s="425"/>
      <c r="D121" s="425"/>
      <c r="E121" s="424"/>
      <c r="F121" s="425"/>
      <c r="G121" s="424"/>
      <c r="H121" s="424"/>
      <c r="I121" s="424"/>
      <c r="J121" s="424"/>
      <c r="K121" s="424"/>
      <c r="L121" s="424"/>
      <c r="M121" s="424"/>
      <c r="N121" s="424"/>
    </row>
    <row r="122" spans="1:14" s="136" customFormat="1">
      <c r="A122" s="424"/>
      <c r="B122" s="424"/>
      <c r="C122" s="425"/>
      <c r="D122" s="425"/>
      <c r="E122" s="424"/>
      <c r="F122" s="425"/>
      <c r="G122" s="424"/>
      <c r="H122" s="424"/>
      <c r="I122" s="424"/>
      <c r="J122" s="424"/>
      <c r="K122" s="424"/>
      <c r="L122" s="424"/>
      <c r="M122" s="424"/>
      <c r="N122" s="424"/>
    </row>
    <row r="123" spans="1:14" s="136" customFormat="1">
      <c r="A123" s="424"/>
      <c r="B123" s="424"/>
      <c r="C123" s="425"/>
      <c r="D123" s="425"/>
      <c r="E123" s="424"/>
      <c r="F123" s="425"/>
      <c r="G123" s="424"/>
      <c r="H123" s="424"/>
      <c r="I123" s="424"/>
      <c r="J123" s="424"/>
      <c r="K123" s="424"/>
      <c r="L123" s="424"/>
      <c r="M123" s="424"/>
      <c r="N123" s="424"/>
    </row>
    <row r="124" spans="1:14" s="136" customFormat="1">
      <c r="A124" s="424"/>
      <c r="B124" s="424"/>
      <c r="C124" s="425"/>
      <c r="D124" s="425"/>
      <c r="E124" s="424"/>
      <c r="F124" s="425"/>
      <c r="G124" s="424"/>
      <c r="H124" s="424"/>
      <c r="I124" s="424"/>
      <c r="J124" s="424"/>
      <c r="K124" s="424"/>
      <c r="L124" s="424"/>
      <c r="M124" s="424"/>
      <c r="N124" s="424"/>
    </row>
    <row r="125" spans="1:14" s="136" customFormat="1">
      <c r="A125" s="424"/>
      <c r="B125" s="424"/>
      <c r="C125" s="425"/>
      <c r="D125" s="425"/>
      <c r="E125" s="424"/>
      <c r="F125" s="425"/>
      <c r="G125" s="424"/>
      <c r="H125" s="424"/>
      <c r="I125" s="424"/>
      <c r="J125" s="424"/>
      <c r="K125" s="424"/>
      <c r="L125" s="424"/>
      <c r="M125" s="424"/>
      <c r="N125" s="424"/>
    </row>
    <row r="126" spans="1:14" s="136" customFormat="1">
      <c r="A126" s="424"/>
      <c r="B126" s="424"/>
      <c r="C126" s="425"/>
      <c r="D126" s="425"/>
      <c r="E126" s="424"/>
      <c r="F126" s="425"/>
      <c r="G126" s="424"/>
      <c r="H126" s="424"/>
      <c r="I126" s="424"/>
      <c r="J126" s="424"/>
      <c r="K126" s="424"/>
      <c r="L126" s="424"/>
      <c r="M126" s="424"/>
      <c r="N126" s="424"/>
    </row>
    <row r="127" spans="1:14" s="136" customFormat="1">
      <c r="A127" s="424"/>
      <c r="B127" s="424"/>
      <c r="C127" s="425"/>
      <c r="D127" s="425"/>
      <c r="E127" s="424"/>
      <c r="F127" s="425"/>
      <c r="G127" s="424"/>
      <c r="H127" s="424"/>
      <c r="I127" s="424"/>
      <c r="J127" s="424"/>
      <c r="K127" s="424"/>
      <c r="L127" s="424"/>
      <c r="M127" s="424"/>
      <c r="N127" s="424"/>
    </row>
    <row r="128" spans="1:14" s="136" customFormat="1">
      <c r="A128" s="424"/>
      <c r="B128" s="424"/>
      <c r="C128" s="425"/>
      <c r="D128" s="425"/>
      <c r="E128" s="424"/>
      <c r="F128" s="425"/>
      <c r="G128" s="424"/>
      <c r="H128" s="424"/>
      <c r="I128" s="424"/>
      <c r="J128" s="424"/>
      <c r="K128" s="424"/>
      <c r="L128" s="424"/>
      <c r="M128" s="424"/>
      <c r="N128" s="424"/>
    </row>
    <row r="129" spans="1:14" s="136" customFormat="1">
      <c r="A129" s="424"/>
      <c r="B129" s="424"/>
      <c r="C129" s="425"/>
      <c r="D129" s="425"/>
      <c r="E129" s="424"/>
      <c r="F129" s="425"/>
      <c r="G129" s="424"/>
      <c r="H129" s="424"/>
      <c r="I129" s="424"/>
      <c r="J129" s="424"/>
      <c r="K129" s="424"/>
      <c r="L129" s="424"/>
      <c r="M129" s="424"/>
      <c r="N129" s="424"/>
    </row>
    <row r="130" spans="1:14" s="136" customFormat="1">
      <c r="A130" s="424"/>
      <c r="B130" s="424"/>
      <c r="C130" s="425"/>
      <c r="D130" s="425"/>
      <c r="E130" s="424"/>
      <c r="F130" s="425"/>
      <c r="G130" s="424"/>
      <c r="H130" s="424"/>
      <c r="I130" s="424"/>
      <c r="J130" s="424"/>
      <c r="K130" s="424"/>
      <c r="L130" s="424"/>
      <c r="M130" s="424"/>
      <c r="N130" s="424"/>
    </row>
    <row r="131" spans="1:14" s="136" customFormat="1">
      <c r="A131" s="424"/>
      <c r="B131" s="424"/>
      <c r="C131" s="425"/>
      <c r="D131" s="425"/>
      <c r="E131" s="424"/>
      <c r="F131" s="425"/>
      <c r="G131" s="424"/>
      <c r="H131" s="424"/>
      <c r="I131" s="424"/>
      <c r="J131" s="424"/>
      <c r="K131" s="424"/>
      <c r="L131" s="424"/>
      <c r="M131" s="424"/>
      <c r="N131" s="424"/>
    </row>
    <row r="132" spans="1:14" s="136" customFormat="1">
      <c r="A132" s="424"/>
      <c r="B132" s="424"/>
      <c r="C132" s="425"/>
      <c r="D132" s="425"/>
      <c r="E132" s="424"/>
      <c r="F132" s="425"/>
      <c r="G132" s="424"/>
      <c r="H132" s="424"/>
      <c r="I132" s="424"/>
      <c r="J132" s="424"/>
      <c r="K132" s="424"/>
      <c r="L132" s="424"/>
      <c r="M132" s="424"/>
      <c r="N132" s="424"/>
    </row>
    <row r="133" spans="1:14" s="136" customFormat="1">
      <c r="A133" s="424"/>
      <c r="B133" s="424"/>
      <c r="C133" s="425"/>
      <c r="D133" s="425"/>
      <c r="E133" s="424"/>
      <c r="F133" s="425"/>
      <c r="G133" s="424"/>
      <c r="H133" s="424"/>
      <c r="I133" s="424"/>
      <c r="J133" s="424"/>
      <c r="K133" s="424"/>
      <c r="L133" s="424"/>
      <c r="M133" s="424"/>
      <c r="N133" s="424"/>
    </row>
    <row r="134" spans="1:14" s="136" customFormat="1">
      <c r="A134" s="424"/>
      <c r="B134" s="424"/>
      <c r="C134" s="425"/>
      <c r="D134" s="425"/>
      <c r="E134" s="424"/>
      <c r="F134" s="425"/>
      <c r="G134" s="424"/>
      <c r="H134" s="424"/>
      <c r="I134" s="424"/>
      <c r="J134" s="424"/>
      <c r="K134" s="424"/>
      <c r="L134" s="424"/>
      <c r="M134" s="424"/>
      <c r="N134" s="424"/>
    </row>
    <row r="135" spans="1:14" s="136" customFormat="1">
      <c r="A135" s="424"/>
      <c r="B135" s="424"/>
      <c r="C135" s="425"/>
      <c r="D135" s="425"/>
      <c r="E135" s="424"/>
      <c r="F135" s="425"/>
      <c r="G135" s="424"/>
      <c r="H135" s="424"/>
      <c r="I135" s="424"/>
      <c r="J135" s="424"/>
      <c r="K135" s="424"/>
      <c r="L135" s="424"/>
      <c r="M135" s="424"/>
      <c r="N135" s="424"/>
    </row>
    <row r="136" spans="1:14" s="136" customFormat="1">
      <c r="A136" s="424"/>
      <c r="B136" s="424"/>
      <c r="C136" s="425"/>
      <c r="D136" s="425"/>
      <c r="E136" s="424"/>
      <c r="F136" s="425"/>
      <c r="G136" s="424"/>
      <c r="H136" s="424"/>
      <c r="I136" s="424"/>
      <c r="J136" s="424"/>
      <c r="K136" s="424"/>
      <c r="L136" s="424"/>
      <c r="M136" s="424"/>
      <c r="N136" s="424"/>
    </row>
    <row r="137" spans="1:14" s="136" customFormat="1">
      <c r="A137" s="424"/>
      <c r="B137" s="424"/>
      <c r="C137" s="425"/>
      <c r="D137" s="425"/>
      <c r="E137" s="424"/>
      <c r="F137" s="425"/>
      <c r="G137" s="424"/>
      <c r="H137" s="424"/>
      <c r="I137" s="424"/>
      <c r="J137" s="424"/>
      <c r="K137" s="424"/>
      <c r="L137" s="424"/>
      <c r="M137" s="424"/>
      <c r="N137" s="424"/>
    </row>
    <row r="138" spans="1:14" s="136" customFormat="1">
      <c r="A138" s="424"/>
      <c r="B138" s="424"/>
      <c r="C138" s="425"/>
      <c r="D138" s="425"/>
      <c r="E138" s="424"/>
      <c r="F138" s="425"/>
      <c r="G138" s="424"/>
      <c r="H138" s="424"/>
      <c r="I138" s="424"/>
      <c r="J138" s="424"/>
      <c r="K138" s="424"/>
      <c r="L138" s="424"/>
      <c r="M138" s="424"/>
      <c r="N138" s="424"/>
    </row>
    <row r="139" spans="1:14" s="136" customFormat="1">
      <c r="A139" s="424"/>
      <c r="B139" s="424"/>
      <c r="C139" s="425"/>
      <c r="D139" s="425"/>
      <c r="E139" s="424"/>
      <c r="F139" s="425"/>
      <c r="G139" s="424"/>
      <c r="H139" s="424"/>
      <c r="I139" s="424"/>
      <c r="J139" s="424"/>
      <c r="K139" s="424"/>
      <c r="L139" s="424"/>
      <c r="M139" s="424"/>
      <c r="N139" s="424"/>
    </row>
    <row r="140" spans="1:14" s="136" customFormat="1">
      <c r="A140" s="424"/>
      <c r="B140" s="424"/>
      <c r="C140" s="425"/>
      <c r="D140" s="425"/>
      <c r="E140" s="424"/>
      <c r="F140" s="425"/>
      <c r="G140" s="424"/>
      <c r="H140" s="424"/>
      <c r="I140" s="424"/>
      <c r="J140" s="424"/>
      <c r="K140" s="424"/>
      <c r="L140" s="424"/>
      <c r="M140" s="424"/>
      <c r="N140" s="424"/>
    </row>
    <row r="141" spans="1:14" s="136" customFormat="1">
      <c r="A141" s="424"/>
      <c r="B141" s="424"/>
      <c r="C141" s="425"/>
      <c r="D141" s="425"/>
      <c r="E141" s="424"/>
      <c r="F141" s="425"/>
      <c r="G141" s="424"/>
      <c r="H141" s="424"/>
      <c r="I141" s="424"/>
      <c r="J141" s="424"/>
      <c r="K141" s="424"/>
      <c r="L141" s="424"/>
      <c r="M141" s="424"/>
      <c r="N141" s="424"/>
    </row>
    <row r="142" spans="1:14" s="136" customFormat="1">
      <c r="A142" s="424"/>
      <c r="B142" s="424"/>
      <c r="C142" s="425"/>
      <c r="D142" s="425"/>
      <c r="E142" s="424"/>
      <c r="F142" s="425"/>
      <c r="G142" s="424"/>
      <c r="H142" s="424"/>
      <c r="I142" s="424"/>
      <c r="J142" s="424"/>
      <c r="K142" s="424"/>
      <c r="L142" s="424"/>
      <c r="M142" s="424"/>
      <c r="N142" s="424"/>
    </row>
    <row r="143" spans="1:14" s="136" customFormat="1">
      <c r="A143" s="424"/>
      <c r="B143" s="424"/>
      <c r="C143" s="425"/>
      <c r="D143" s="425"/>
      <c r="E143" s="424"/>
      <c r="F143" s="425"/>
      <c r="G143" s="424"/>
      <c r="H143" s="424"/>
      <c r="I143" s="424"/>
      <c r="J143" s="424"/>
      <c r="K143" s="424"/>
      <c r="L143" s="424"/>
      <c r="M143" s="424"/>
      <c r="N143" s="424"/>
    </row>
    <row r="144" spans="1:14" s="136" customFormat="1">
      <c r="A144" s="424"/>
      <c r="B144" s="424"/>
      <c r="C144" s="425"/>
      <c r="D144" s="425"/>
      <c r="E144" s="424"/>
      <c r="F144" s="425"/>
      <c r="G144" s="424"/>
      <c r="H144" s="424"/>
      <c r="I144" s="424"/>
      <c r="J144" s="424"/>
      <c r="K144" s="424"/>
      <c r="L144" s="424"/>
      <c r="M144" s="424"/>
      <c r="N144" s="424"/>
    </row>
    <row r="145" spans="1:14" s="136" customFormat="1">
      <c r="A145" s="424"/>
      <c r="B145" s="424"/>
      <c r="C145" s="425"/>
      <c r="D145" s="425"/>
      <c r="E145" s="424"/>
      <c r="F145" s="425"/>
      <c r="G145" s="424"/>
      <c r="H145" s="424"/>
      <c r="I145" s="424"/>
      <c r="J145" s="424"/>
      <c r="K145" s="424"/>
      <c r="L145" s="424"/>
      <c r="M145" s="424"/>
      <c r="N145" s="424"/>
    </row>
    <row r="146" spans="1:14" s="136" customFormat="1">
      <c r="A146" s="424"/>
      <c r="B146" s="424"/>
      <c r="C146" s="425"/>
      <c r="D146" s="425"/>
      <c r="E146" s="424"/>
      <c r="F146" s="425"/>
      <c r="G146" s="424"/>
      <c r="H146" s="424"/>
      <c r="I146" s="424"/>
      <c r="J146" s="424"/>
      <c r="K146" s="424"/>
      <c r="L146" s="424"/>
      <c r="M146" s="424"/>
      <c r="N146" s="424"/>
    </row>
    <row r="147" spans="1:14" s="136" customFormat="1">
      <c r="A147" s="424"/>
      <c r="B147" s="424"/>
      <c r="C147" s="425"/>
      <c r="D147" s="425"/>
      <c r="E147" s="424"/>
      <c r="F147" s="425"/>
      <c r="G147" s="424"/>
      <c r="H147" s="424"/>
      <c r="I147" s="424"/>
      <c r="J147" s="424"/>
      <c r="K147" s="424"/>
      <c r="L147" s="424"/>
      <c r="M147" s="424"/>
      <c r="N147" s="424"/>
    </row>
    <row r="148" spans="1:14" s="136" customFormat="1">
      <c r="A148" s="424"/>
      <c r="B148" s="424"/>
      <c r="C148" s="425"/>
      <c r="D148" s="425"/>
      <c r="E148" s="424"/>
      <c r="F148" s="425"/>
      <c r="G148" s="424"/>
      <c r="H148" s="424"/>
      <c r="I148" s="424"/>
      <c r="J148" s="424"/>
      <c r="K148" s="424"/>
      <c r="L148" s="424"/>
      <c r="M148" s="424"/>
      <c r="N148" s="424"/>
    </row>
    <row r="149" spans="1:14" s="136" customFormat="1">
      <c r="A149" s="424"/>
      <c r="B149" s="424"/>
      <c r="C149" s="425"/>
      <c r="D149" s="425"/>
      <c r="E149" s="424"/>
      <c r="F149" s="425"/>
      <c r="G149" s="424"/>
      <c r="H149" s="424"/>
      <c r="I149" s="424"/>
      <c r="J149" s="424"/>
      <c r="K149" s="424"/>
      <c r="L149" s="424"/>
      <c r="M149" s="424"/>
      <c r="N149" s="424"/>
    </row>
    <row r="150" spans="1:14" s="136" customFormat="1">
      <c r="A150" s="424"/>
      <c r="B150" s="424"/>
      <c r="C150" s="425"/>
      <c r="D150" s="425"/>
      <c r="E150" s="424"/>
      <c r="F150" s="425"/>
      <c r="G150" s="424"/>
      <c r="H150" s="424"/>
      <c r="I150" s="424"/>
      <c r="J150" s="424"/>
      <c r="K150" s="424"/>
      <c r="L150" s="424"/>
      <c r="M150" s="424"/>
      <c r="N150" s="424"/>
    </row>
    <row r="151" spans="1:14" s="136" customFormat="1">
      <c r="A151" s="424"/>
      <c r="B151" s="424"/>
      <c r="C151" s="425"/>
      <c r="D151" s="425"/>
      <c r="E151" s="424"/>
      <c r="F151" s="425"/>
      <c r="G151" s="424"/>
      <c r="H151" s="424"/>
      <c r="I151" s="424"/>
      <c r="J151" s="424"/>
      <c r="K151" s="424"/>
      <c r="L151" s="424"/>
      <c r="M151" s="424"/>
      <c r="N151" s="424"/>
    </row>
    <row r="152" spans="1:14" s="136" customFormat="1">
      <c r="A152" s="424"/>
      <c r="B152" s="424"/>
      <c r="C152" s="425"/>
      <c r="D152" s="425"/>
      <c r="E152" s="424"/>
      <c r="F152" s="425"/>
      <c r="G152" s="424"/>
      <c r="H152" s="424"/>
      <c r="I152" s="424"/>
      <c r="J152" s="424"/>
      <c r="K152" s="424"/>
      <c r="L152" s="424"/>
      <c r="M152" s="424"/>
      <c r="N152" s="424"/>
    </row>
    <row r="153" spans="1:14" s="136" customFormat="1">
      <c r="A153" s="424"/>
      <c r="B153" s="424"/>
      <c r="C153" s="425"/>
      <c r="D153" s="425"/>
      <c r="E153" s="424"/>
      <c r="F153" s="425"/>
      <c r="G153" s="424"/>
      <c r="H153" s="424"/>
      <c r="I153" s="424"/>
      <c r="J153" s="424"/>
      <c r="K153" s="424"/>
      <c r="L153" s="424"/>
      <c r="M153" s="424"/>
      <c r="N153" s="424"/>
    </row>
    <row r="154" spans="1:14" s="136" customFormat="1">
      <c r="A154" s="424"/>
      <c r="B154" s="424"/>
      <c r="C154" s="425"/>
      <c r="D154" s="425"/>
      <c r="E154" s="424"/>
      <c r="F154" s="425"/>
      <c r="G154" s="424"/>
      <c r="H154" s="424"/>
      <c r="I154" s="424"/>
      <c r="J154" s="424"/>
      <c r="K154" s="424"/>
      <c r="L154" s="424"/>
      <c r="M154" s="424"/>
      <c r="N154" s="424"/>
    </row>
    <row r="155" spans="1:14" s="136" customFormat="1">
      <c r="A155" s="424"/>
      <c r="B155" s="424"/>
      <c r="C155" s="425"/>
      <c r="D155" s="425"/>
      <c r="E155" s="424"/>
      <c r="F155" s="425"/>
      <c r="G155" s="424"/>
      <c r="H155" s="424"/>
      <c r="I155" s="424"/>
      <c r="J155" s="424"/>
      <c r="K155" s="424"/>
      <c r="L155" s="424"/>
      <c r="M155" s="424"/>
      <c r="N155" s="424"/>
    </row>
    <row r="156" spans="1:14" s="136" customFormat="1">
      <c r="A156" s="424"/>
      <c r="B156" s="424"/>
      <c r="C156" s="425"/>
      <c r="D156" s="425"/>
      <c r="E156" s="424"/>
      <c r="F156" s="425"/>
      <c r="G156" s="424"/>
      <c r="H156" s="424"/>
      <c r="I156" s="424"/>
      <c r="J156" s="424"/>
      <c r="K156" s="424"/>
      <c r="L156" s="424"/>
      <c r="M156" s="424"/>
      <c r="N156" s="424"/>
    </row>
    <row r="157" spans="1:14" s="136" customFormat="1">
      <c r="A157" s="424"/>
      <c r="B157" s="424"/>
      <c r="C157" s="425"/>
      <c r="D157" s="425"/>
      <c r="E157" s="424"/>
      <c r="F157" s="425"/>
      <c r="G157" s="424"/>
      <c r="H157" s="424"/>
      <c r="I157" s="424"/>
      <c r="J157" s="424"/>
      <c r="K157" s="424"/>
      <c r="L157" s="424"/>
      <c r="M157" s="424"/>
      <c r="N157" s="424"/>
    </row>
    <row r="158" spans="1:14" s="136" customFormat="1">
      <c r="A158" s="424"/>
      <c r="B158" s="424"/>
      <c r="C158" s="425"/>
      <c r="D158" s="425"/>
      <c r="E158" s="424"/>
      <c r="F158" s="425"/>
      <c r="G158" s="424"/>
      <c r="H158" s="424"/>
      <c r="I158" s="424"/>
      <c r="J158" s="424"/>
      <c r="K158" s="424"/>
      <c r="L158" s="424"/>
      <c r="M158" s="424"/>
      <c r="N158" s="424"/>
    </row>
    <row r="159" spans="1:14" s="136" customFormat="1">
      <c r="A159" s="424"/>
      <c r="B159" s="424"/>
      <c r="C159" s="425"/>
      <c r="D159" s="425"/>
      <c r="E159" s="424"/>
      <c r="F159" s="425"/>
      <c r="G159" s="424"/>
      <c r="H159" s="424"/>
      <c r="I159" s="424"/>
      <c r="J159" s="424"/>
      <c r="K159" s="424"/>
      <c r="L159" s="424"/>
      <c r="M159" s="424"/>
      <c r="N159" s="424"/>
    </row>
    <row r="160" spans="1:14" s="136" customFormat="1">
      <c r="A160" s="424"/>
      <c r="B160" s="424"/>
      <c r="C160" s="425"/>
      <c r="D160" s="425"/>
      <c r="E160" s="424"/>
      <c r="F160" s="425"/>
      <c r="G160" s="424"/>
      <c r="H160" s="424"/>
      <c r="I160" s="424"/>
      <c r="J160" s="424"/>
      <c r="K160" s="424"/>
      <c r="L160" s="424"/>
      <c r="M160" s="424"/>
      <c r="N160" s="424"/>
    </row>
    <row r="161" spans="1:14" s="136" customFormat="1">
      <c r="A161" s="424"/>
      <c r="B161" s="424"/>
      <c r="C161" s="425"/>
      <c r="D161" s="425"/>
      <c r="E161" s="424"/>
      <c r="F161" s="425"/>
      <c r="G161" s="424"/>
      <c r="H161" s="424"/>
      <c r="I161" s="424"/>
      <c r="J161" s="424"/>
      <c r="K161" s="424"/>
      <c r="L161" s="424"/>
      <c r="M161" s="424"/>
      <c r="N161" s="424"/>
    </row>
    <row r="162" spans="1:14" s="136" customFormat="1">
      <c r="A162" s="424"/>
      <c r="B162" s="424"/>
      <c r="C162" s="425"/>
      <c r="D162" s="425"/>
      <c r="E162" s="424"/>
      <c r="F162" s="425"/>
      <c r="G162" s="424"/>
      <c r="H162" s="424"/>
      <c r="I162" s="424"/>
      <c r="J162" s="424"/>
      <c r="K162" s="424"/>
      <c r="L162" s="424"/>
      <c r="M162" s="424"/>
      <c r="N162" s="424"/>
    </row>
    <row r="163" spans="1:14" s="136" customFormat="1">
      <c r="A163" s="424"/>
      <c r="B163" s="424"/>
      <c r="C163" s="425"/>
      <c r="D163" s="425"/>
      <c r="E163" s="424"/>
      <c r="F163" s="425"/>
      <c r="G163" s="424"/>
      <c r="H163" s="424"/>
      <c r="I163" s="424"/>
      <c r="J163" s="424"/>
      <c r="K163" s="424"/>
      <c r="L163" s="424"/>
      <c r="M163" s="424"/>
      <c r="N163" s="424"/>
    </row>
    <row r="164" spans="1:14" s="136" customFormat="1">
      <c r="A164" s="424"/>
      <c r="B164" s="424"/>
      <c r="C164" s="425"/>
      <c r="D164" s="425"/>
      <c r="E164" s="424"/>
      <c r="F164" s="425"/>
      <c r="G164" s="424"/>
      <c r="H164" s="424"/>
      <c r="I164" s="424"/>
      <c r="J164" s="424"/>
      <c r="K164" s="424"/>
      <c r="L164" s="424"/>
      <c r="M164" s="424"/>
      <c r="N164" s="424"/>
    </row>
    <row r="165" spans="1:14" s="136" customFormat="1">
      <c r="A165" s="424"/>
      <c r="B165" s="424"/>
      <c r="C165" s="425"/>
      <c r="D165" s="425"/>
      <c r="E165" s="424"/>
      <c r="F165" s="425"/>
      <c r="G165" s="424"/>
      <c r="H165" s="424"/>
      <c r="I165" s="424"/>
      <c r="J165" s="424"/>
      <c r="K165" s="424"/>
      <c r="L165" s="424"/>
      <c r="M165" s="424"/>
      <c r="N165" s="424"/>
    </row>
    <row r="166" spans="1:14" s="136" customFormat="1">
      <c r="A166" s="424"/>
      <c r="B166" s="424"/>
      <c r="C166" s="425"/>
      <c r="D166" s="425"/>
      <c r="E166" s="424"/>
      <c r="F166" s="425"/>
      <c r="G166" s="424"/>
      <c r="H166" s="424"/>
      <c r="I166" s="424"/>
      <c r="J166" s="424"/>
      <c r="K166" s="424"/>
      <c r="L166" s="424"/>
      <c r="M166" s="424"/>
      <c r="N166" s="424"/>
    </row>
    <row r="167" spans="1:14" s="136" customFormat="1">
      <c r="A167" s="424"/>
      <c r="B167" s="424"/>
      <c r="C167" s="425"/>
      <c r="D167" s="425"/>
      <c r="E167" s="424"/>
      <c r="F167" s="425"/>
      <c r="G167" s="424"/>
      <c r="H167" s="424"/>
      <c r="I167" s="424"/>
      <c r="J167" s="424"/>
      <c r="K167" s="424"/>
      <c r="L167" s="424"/>
      <c r="M167" s="424"/>
      <c r="N167" s="424"/>
    </row>
    <row r="168" spans="1:14" s="136" customFormat="1">
      <c r="A168" s="424"/>
      <c r="B168" s="424"/>
      <c r="C168" s="425"/>
      <c r="D168" s="425"/>
      <c r="E168" s="424"/>
      <c r="F168" s="425"/>
      <c r="G168" s="424"/>
      <c r="H168" s="424"/>
      <c r="I168" s="424"/>
      <c r="J168" s="424"/>
      <c r="K168" s="424"/>
      <c r="L168" s="424"/>
      <c r="M168" s="424"/>
      <c r="N168" s="424"/>
    </row>
    <row r="169" spans="1:14" s="136" customFormat="1">
      <c r="A169" s="424"/>
      <c r="B169" s="424"/>
      <c r="C169" s="425"/>
      <c r="D169" s="425"/>
      <c r="E169" s="424"/>
      <c r="F169" s="425"/>
      <c r="G169" s="424"/>
      <c r="H169" s="424"/>
      <c r="I169" s="424"/>
      <c r="J169" s="424"/>
      <c r="K169" s="424"/>
      <c r="L169" s="424"/>
      <c r="M169" s="424"/>
      <c r="N169" s="424"/>
    </row>
    <row r="170" spans="1:14" s="136" customFormat="1">
      <c r="A170" s="424"/>
      <c r="B170" s="424"/>
      <c r="C170" s="425"/>
      <c r="D170" s="425"/>
      <c r="E170" s="424"/>
      <c r="F170" s="425"/>
      <c r="G170" s="424"/>
      <c r="H170" s="424"/>
      <c r="I170" s="424"/>
      <c r="J170" s="424"/>
      <c r="K170" s="424"/>
      <c r="L170" s="424"/>
      <c r="M170" s="424"/>
      <c r="N170" s="424"/>
    </row>
    <row r="171" spans="1:14" s="136" customFormat="1">
      <c r="A171" s="424"/>
      <c r="B171" s="424"/>
      <c r="C171" s="425"/>
      <c r="D171" s="425"/>
      <c r="E171" s="424"/>
      <c r="F171" s="425"/>
      <c r="G171" s="424"/>
      <c r="H171" s="424"/>
      <c r="I171" s="424"/>
      <c r="J171" s="424"/>
      <c r="K171" s="424"/>
      <c r="L171" s="424"/>
      <c r="M171" s="424"/>
      <c r="N171" s="424"/>
    </row>
    <row r="172" spans="1:14" s="136" customFormat="1">
      <c r="A172" s="424"/>
      <c r="B172" s="424"/>
      <c r="C172" s="425"/>
      <c r="D172" s="425"/>
      <c r="E172" s="424"/>
      <c r="F172" s="425"/>
      <c r="G172" s="424"/>
      <c r="H172" s="424"/>
      <c r="I172" s="424"/>
      <c r="J172" s="424"/>
      <c r="K172" s="424"/>
      <c r="L172" s="424"/>
      <c r="M172" s="424"/>
      <c r="N172" s="424"/>
    </row>
    <row r="173" spans="1:14" s="136" customFormat="1">
      <c r="A173" s="424"/>
      <c r="B173" s="424"/>
      <c r="C173" s="425"/>
      <c r="D173" s="425"/>
      <c r="E173" s="424"/>
      <c r="F173" s="425"/>
      <c r="G173" s="424"/>
      <c r="H173" s="424"/>
      <c r="I173" s="424"/>
      <c r="J173" s="424"/>
      <c r="K173" s="424"/>
      <c r="L173" s="424"/>
      <c r="M173" s="424"/>
      <c r="N173" s="424"/>
    </row>
    <row r="174" spans="1:14" s="136" customFormat="1">
      <c r="A174" s="424"/>
      <c r="B174" s="424"/>
      <c r="C174" s="425"/>
      <c r="D174" s="425"/>
      <c r="E174" s="424"/>
      <c r="F174" s="425"/>
      <c r="G174" s="424"/>
      <c r="H174" s="424"/>
      <c r="I174" s="424"/>
      <c r="J174" s="424"/>
      <c r="K174" s="424"/>
      <c r="L174" s="424"/>
      <c r="M174" s="424"/>
      <c r="N174" s="424"/>
    </row>
    <row r="175" spans="1:14" s="136" customFormat="1">
      <c r="A175" s="424"/>
      <c r="B175" s="424"/>
      <c r="C175" s="425"/>
      <c r="D175" s="425"/>
      <c r="E175" s="424"/>
      <c r="F175" s="425"/>
      <c r="G175" s="424"/>
      <c r="H175" s="424"/>
      <c r="I175" s="424"/>
      <c r="J175" s="424"/>
      <c r="K175" s="424"/>
      <c r="L175" s="424"/>
      <c r="M175" s="424"/>
      <c r="N175" s="424"/>
    </row>
    <row r="176" spans="1:14" s="136" customFormat="1">
      <c r="A176" s="424"/>
      <c r="B176" s="424"/>
      <c r="C176" s="425"/>
      <c r="D176" s="425"/>
      <c r="E176" s="424"/>
      <c r="F176" s="425"/>
      <c r="G176" s="424"/>
      <c r="H176" s="424"/>
      <c r="I176" s="424"/>
      <c r="J176" s="424"/>
      <c r="K176" s="424"/>
      <c r="L176" s="424"/>
      <c r="M176" s="424"/>
      <c r="N176" s="424"/>
    </row>
  </sheetData>
  <sheetProtection algorithmName="SHA-512" hashValue="T+O0lLwcqvYifXXG/Tp6KD3SB/d1FInZUOtDBPHYm+0V/qanuFFws3RJSNJXMrWFgeDhlXE6ILi9Nouo3ODNwg==" saltValue="/yNXvJfYbNhEHW1xyfTMdQ==" spinCount="100000" sheet="1" objects="1" scenarios="1"/>
  <mergeCells count="23">
    <mergeCell ref="I3:I4"/>
    <mergeCell ref="J3:J4"/>
    <mergeCell ref="D6:D12"/>
    <mergeCell ref="K3:K4"/>
    <mergeCell ref="L3:L4"/>
    <mergeCell ref="E6:E12"/>
    <mergeCell ref="F6:F12"/>
    <mergeCell ref="H3:H4"/>
    <mergeCell ref="G46:G47"/>
    <mergeCell ref="A15:A28"/>
    <mergeCell ref="B15:B16"/>
    <mergeCell ref="C15:G16"/>
    <mergeCell ref="F18:F45"/>
    <mergeCell ref="D18:D45"/>
    <mergeCell ref="B18:B44"/>
    <mergeCell ref="E18:E45"/>
    <mergeCell ref="C18:C45"/>
    <mergeCell ref="B3:B4"/>
    <mergeCell ref="C3:C4"/>
    <mergeCell ref="D3:D4"/>
    <mergeCell ref="A6:A10"/>
    <mergeCell ref="B6:B12"/>
    <mergeCell ref="C6:C12"/>
  </mergeCells>
  <printOptions horizontalCentered="1" verticalCentered="1"/>
  <pageMargins left="0" right="0" top="0.39370078740157483" bottom="0.39370078740157483" header="0.11811023622047245" footer="0.51181102362204722"/>
  <pageSetup paperSize="9" scale="66" orientation="landscape" r:id="rId1"/>
  <headerFooter alignWithMargins="0">
    <oddHeader xml:space="preserve">&amp;LNassington Parish Council Northamptonshire NO164&amp;C&amp;"Arial,Bold"QUANTIFIED VARIABLE DIFFERENCES&amp;RAccounts for Audit
y/e 31 March 2021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T21"/>
  <sheetViews>
    <sheetView showGridLines="0" zoomScaleNormal="100" workbookViewId="0">
      <pane ySplit="2" topLeftCell="A3" activePane="bottomLeft" state="frozen"/>
      <selection pane="bottomLeft" activeCell="T6" sqref="T6"/>
    </sheetView>
  </sheetViews>
  <sheetFormatPr defaultColWidth="9.140625" defaultRowHeight="12.75"/>
  <cols>
    <col min="1" max="1" width="9" style="534" bestFit="1" customWidth="1"/>
    <col min="2" max="2" width="9.140625" style="533"/>
    <col min="3" max="3" width="15.85546875" style="533" customWidth="1"/>
    <col min="4" max="5" width="13.7109375" style="533" customWidth="1"/>
    <col min="6" max="6" width="11.28515625" style="533" bestFit="1" customWidth="1"/>
    <col min="7" max="7" width="10.28515625" style="533" bestFit="1" customWidth="1"/>
    <col min="8" max="8" width="11.28515625" style="533" hidden="1" customWidth="1"/>
    <col min="9" max="9" width="10.28515625" style="533" hidden="1" customWidth="1"/>
    <col min="10" max="10" width="11.28515625" style="533" hidden="1" customWidth="1"/>
    <col min="11" max="11" width="9.28515625" style="533" customWidth="1"/>
    <col min="12" max="12" width="10.28515625" style="533" customWidth="1"/>
    <col min="13" max="13" width="11.42578125" style="533" hidden="1" customWidth="1"/>
    <col min="14" max="14" width="10.28515625" style="533" hidden="1" customWidth="1"/>
    <col min="15" max="15" width="11.28515625" style="533" hidden="1" customWidth="1"/>
    <col min="16" max="17" width="10.28515625" style="533" hidden="1" customWidth="1"/>
    <col min="18" max="16384" width="9.140625" style="533"/>
  </cols>
  <sheetData>
    <row r="1" spans="1:20">
      <c r="B1" s="692"/>
      <c r="C1" s="692"/>
      <c r="D1" s="784" t="s">
        <v>154</v>
      </c>
      <c r="E1" s="784"/>
      <c r="F1" s="784" t="s">
        <v>344</v>
      </c>
      <c r="G1" s="784"/>
      <c r="H1" s="692"/>
      <c r="I1" s="692"/>
      <c r="J1" s="692"/>
      <c r="K1" s="692"/>
      <c r="L1" s="692"/>
      <c r="M1" s="692"/>
      <c r="N1" s="692"/>
      <c r="O1" s="692"/>
      <c r="P1" s="692"/>
      <c r="Q1" s="692"/>
    </row>
    <row r="2" spans="1:20" ht="25.5">
      <c r="B2" s="692"/>
      <c r="C2" s="692"/>
      <c r="D2" s="693" t="s">
        <v>726</v>
      </c>
      <c r="E2" s="693" t="s">
        <v>727</v>
      </c>
      <c r="F2" s="693" t="s">
        <v>343</v>
      </c>
      <c r="G2" s="693" t="s">
        <v>728</v>
      </c>
      <c r="H2" s="784" t="s">
        <v>263</v>
      </c>
      <c r="I2" s="784"/>
      <c r="J2" s="784"/>
      <c r="K2" s="694" t="s">
        <v>199</v>
      </c>
      <c r="L2" s="694" t="s">
        <v>200</v>
      </c>
      <c r="M2" s="785" t="s">
        <v>269</v>
      </c>
      <c r="N2" s="785"/>
      <c r="O2" s="785"/>
      <c r="P2" s="785"/>
      <c r="Q2" s="785"/>
    </row>
    <row r="3" spans="1:20" ht="39.950000000000003" customHeight="1">
      <c r="B3" s="695">
        <v>1</v>
      </c>
      <c r="C3" s="696" t="s">
        <v>155</v>
      </c>
      <c r="D3" s="697">
        <v>86304.14</v>
      </c>
      <c r="E3" s="698">
        <f>+D11</f>
        <v>113223</v>
      </c>
      <c r="F3" s="699">
        <f t="shared" ref="F3:G6" si="0">D3</f>
        <v>86304</v>
      </c>
      <c r="G3" s="699">
        <f t="shared" si="0"/>
        <v>113223</v>
      </c>
      <c r="H3" s="699">
        <f t="shared" ref="H3:I7" si="1">F3</f>
        <v>86304</v>
      </c>
      <c r="I3" s="699">
        <f t="shared" si="1"/>
        <v>113223</v>
      </c>
      <c r="J3" s="699"/>
      <c r="K3" s="700"/>
      <c r="L3" s="700"/>
      <c r="M3" s="700"/>
      <c r="N3" s="692"/>
      <c r="O3" s="692"/>
      <c r="P3" s="692"/>
      <c r="Q3" s="692"/>
    </row>
    <row r="4" spans="1:20" ht="39.950000000000003" customHeight="1">
      <c r="B4" s="695">
        <v>2</v>
      </c>
      <c r="C4" s="696" t="s">
        <v>156</v>
      </c>
      <c r="D4" s="697">
        <v>49755</v>
      </c>
      <c r="E4" s="698">
        <f>Receipts!E60</f>
        <v>50750</v>
      </c>
      <c r="F4" s="699">
        <f t="shared" si="0"/>
        <v>49755</v>
      </c>
      <c r="G4" s="699">
        <f t="shared" si="0"/>
        <v>50750</v>
      </c>
      <c r="H4" s="699">
        <f>F4</f>
        <v>49755</v>
      </c>
      <c r="I4" s="699">
        <f t="shared" si="1"/>
        <v>50750</v>
      </c>
      <c r="J4" s="699"/>
      <c r="K4" s="701">
        <f t="shared" ref="K4:K9" si="2">D4-E4</f>
        <v>-995</v>
      </c>
      <c r="L4" s="701">
        <f>(E4-D4)/D4%</f>
        <v>2</v>
      </c>
      <c r="M4" s="700">
        <f>(D4+(D4*L4%))</f>
        <v>50750.1</v>
      </c>
      <c r="N4" s="692"/>
      <c r="O4" s="692"/>
      <c r="P4" s="698" t="e">
        <f>E4+E5</f>
        <v>#REF!</v>
      </c>
      <c r="Q4" s="698">
        <f>Receipts!M60</f>
        <v>73530.37</v>
      </c>
    </row>
    <row r="5" spans="1:20" ht="39.950000000000003" customHeight="1">
      <c r="A5" s="535"/>
      <c r="B5" s="695">
        <v>3</v>
      </c>
      <c r="C5" s="696" t="s">
        <v>157</v>
      </c>
      <c r="D5" s="697">
        <v>22640.87</v>
      </c>
      <c r="E5" s="698" t="e">
        <f>Receipts!#REF!</f>
        <v>#REF!</v>
      </c>
      <c r="F5" s="699">
        <f t="shared" si="0"/>
        <v>22641</v>
      </c>
      <c r="G5" s="699" t="e">
        <f t="shared" si="0"/>
        <v>#REF!</v>
      </c>
      <c r="H5" s="699">
        <f t="shared" si="1"/>
        <v>22641</v>
      </c>
      <c r="I5" s="699" t="e">
        <f t="shared" si="1"/>
        <v>#REF!</v>
      </c>
      <c r="J5" s="700"/>
      <c r="K5" s="701" t="e">
        <f t="shared" si="2"/>
        <v>#REF!</v>
      </c>
      <c r="L5" s="701" t="e">
        <f>(D5-E5)/D5%</f>
        <v>#REF!</v>
      </c>
      <c r="M5" s="700" t="e">
        <f>(D5-(D5*L5%))</f>
        <v>#REF!</v>
      </c>
      <c r="N5" s="700"/>
      <c r="O5" s="700"/>
      <c r="P5" s="700"/>
      <c r="Q5" s="700"/>
      <c r="R5" s="141"/>
    </row>
    <row r="6" spans="1:20" ht="39.950000000000003" customHeight="1">
      <c r="B6" s="695">
        <v>4</v>
      </c>
      <c r="C6" s="696" t="s">
        <v>158</v>
      </c>
      <c r="D6" s="697">
        <v>10727.96</v>
      </c>
      <c r="E6" s="698" t="e">
        <f>#REF!</f>
        <v>#REF!</v>
      </c>
      <c r="F6" s="699">
        <f t="shared" si="0"/>
        <v>10728</v>
      </c>
      <c r="G6" s="699" t="e">
        <f t="shared" si="0"/>
        <v>#REF!</v>
      </c>
      <c r="H6" s="699">
        <f t="shared" si="1"/>
        <v>10728</v>
      </c>
      <c r="I6" s="699" t="e">
        <f t="shared" si="1"/>
        <v>#REF!</v>
      </c>
      <c r="J6" s="699"/>
      <c r="K6" s="701" t="e">
        <f t="shared" si="2"/>
        <v>#REF!</v>
      </c>
      <c r="L6" s="701" t="e">
        <f>(D6-E6)/D6%</f>
        <v>#REF!</v>
      </c>
      <c r="M6" s="700" t="e">
        <f>(D6-(D6*L6%))</f>
        <v>#REF!</v>
      </c>
      <c r="N6" s="692"/>
      <c r="O6" s="692"/>
      <c r="P6" s="698">
        <f ca="1">E6+E8</f>
        <v>73640.61</v>
      </c>
      <c r="Q6" s="698">
        <f ca="1">Payments!C204</f>
        <v>73640.61</v>
      </c>
    </row>
    <row r="7" spans="1:20" ht="39.950000000000003" customHeight="1">
      <c r="B7" s="695">
        <v>5</v>
      </c>
      <c r="C7" s="696" t="s">
        <v>159</v>
      </c>
      <c r="D7" s="700"/>
      <c r="E7" s="698"/>
      <c r="F7" s="699">
        <f t="shared" ref="F7:F12" si="3">D7</f>
        <v>0</v>
      </c>
      <c r="G7" s="699">
        <f>E7</f>
        <v>0</v>
      </c>
      <c r="H7" s="699">
        <f t="shared" si="1"/>
        <v>0</v>
      </c>
      <c r="I7" s="699">
        <f t="shared" si="1"/>
        <v>0</v>
      </c>
      <c r="J7" s="699"/>
      <c r="K7" s="701">
        <f t="shared" si="2"/>
        <v>0</v>
      </c>
      <c r="L7" s="701"/>
      <c r="M7" s="700"/>
      <c r="N7" s="692"/>
      <c r="O7" s="692"/>
      <c r="P7" s="692"/>
      <c r="Q7" s="692"/>
    </row>
    <row r="8" spans="1:20" ht="39.950000000000003" customHeight="1">
      <c r="A8" s="535"/>
      <c r="B8" s="695">
        <v>6</v>
      </c>
      <c r="C8" s="696" t="s">
        <v>160</v>
      </c>
      <c r="D8" s="697">
        <v>34749.050000000003</v>
      </c>
      <c r="E8" s="702">
        <f ca="1">Payments!C204-#REF!</f>
        <v>62598.48</v>
      </c>
      <c r="F8" s="699">
        <f t="shared" si="3"/>
        <v>34749</v>
      </c>
      <c r="G8" s="699">
        <f ca="1">E8</f>
        <v>62598</v>
      </c>
      <c r="H8" s="699">
        <f>F8</f>
        <v>34749</v>
      </c>
      <c r="I8" s="699">
        <f ca="1">G8</f>
        <v>62598</v>
      </c>
      <c r="J8" s="700" t="e">
        <f>SUM(E6:E8)</f>
        <v>#REF!</v>
      </c>
      <c r="K8" s="701">
        <f t="shared" ca="1" si="2"/>
        <v>-27849.43</v>
      </c>
      <c r="L8" s="701">
        <f ca="1">(D8-E8)/D8%</f>
        <v>-80.14</v>
      </c>
      <c r="M8" s="700">
        <f ca="1">(D8-(D8*L8%))</f>
        <v>62596.94</v>
      </c>
      <c r="N8" s="703">
        <f ca="1">H8-I8</f>
        <v>-27849</v>
      </c>
      <c r="O8" s="698">
        <f ca="1">D8*L8%</f>
        <v>-27847.89</v>
      </c>
      <c r="P8" s="692"/>
      <c r="Q8" s="692"/>
    </row>
    <row r="9" spans="1:20" ht="39.950000000000003" customHeight="1">
      <c r="A9" s="536"/>
      <c r="B9" s="695">
        <v>7</v>
      </c>
      <c r="C9" s="696" t="s">
        <v>161</v>
      </c>
      <c r="D9" s="704">
        <v>113223</v>
      </c>
      <c r="E9" s="700">
        <f ca="1">E3+E4+E5-E6-E8</f>
        <v>113112.76</v>
      </c>
      <c r="F9" s="699">
        <f t="shared" si="3"/>
        <v>113223</v>
      </c>
      <c r="G9" s="699">
        <f ca="1">E9</f>
        <v>113113</v>
      </c>
      <c r="H9" s="700">
        <f>H3+H4+H5-H6-H8</f>
        <v>113223</v>
      </c>
      <c r="I9" s="699">
        <f ca="1">I3+I4+I5-I6-I8</f>
        <v>113113</v>
      </c>
      <c r="J9" s="700">
        <f ca="1">G3+G4+G5-G6-G8</f>
        <v>113113</v>
      </c>
      <c r="K9" s="701">
        <f t="shared" ca="1" si="2"/>
        <v>110.24</v>
      </c>
      <c r="L9" s="701">
        <f ca="1">(D9-E9)/D9%</f>
        <v>0.1</v>
      </c>
      <c r="M9" s="700">
        <f ca="1">(D9-(D9*L9%))</f>
        <v>113109.78</v>
      </c>
      <c r="N9" s="692"/>
      <c r="O9" s="692"/>
      <c r="P9" s="692"/>
      <c r="Q9" s="692"/>
    </row>
    <row r="10" spans="1:20" ht="15.75" customHeight="1">
      <c r="B10" s="695"/>
      <c r="C10" s="696"/>
      <c r="D10" s="697"/>
      <c r="E10" s="698"/>
      <c r="F10" s="699">
        <f t="shared" si="3"/>
        <v>0</v>
      </c>
      <c r="G10" s="692"/>
      <c r="H10" s="699">
        <f>H9-F9</f>
        <v>0</v>
      </c>
      <c r="I10" s="699">
        <f ca="1">I9-G9</f>
        <v>0</v>
      </c>
      <c r="J10" s="699">
        <f ca="1">J8-Payments!C204</f>
        <v>0</v>
      </c>
      <c r="K10" s="700"/>
      <c r="L10" s="701"/>
      <c r="M10" s="700"/>
      <c r="N10" s="692"/>
      <c r="O10" s="692"/>
      <c r="P10" s="692"/>
      <c r="Q10" s="692"/>
    </row>
    <row r="11" spans="1:20" ht="39.950000000000003" customHeight="1">
      <c r="B11" s="695">
        <v>8</v>
      </c>
      <c r="C11" s="696" t="s">
        <v>162</v>
      </c>
      <c r="D11" s="697">
        <f>Balances!C18</f>
        <v>113223</v>
      </c>
      <c r="E11" s="698">
        <f ca="1">Balances!C22</f>
        <v>113112.76</v>
      </c>
      <c r="F11" s="699">
        <f t="shared" si="3"/>
        <v>113223</v>
      </c>
      <c r="G11" s="699">
        <f ca="1">E11</f>
        <v>113113</v>
      </c>
      <c r="H11" s="699"/>
      <c r="I11" s="699"/>
      <c r="J11" s="705">
        <f ca="1">J8-Payments!C204</f>
        <v>0</v>
      </c>
      <c r="K11" s="700"/>
      <c r="L11" s="701"/>
      <c r="M11" s="700"/>
      <c r="N11" s="692"/>
      <c r="O11" s="698"/>
      <c r="P11" s="692"/>
      <c r="Q11" s="692"/>
      <c r="S11" s="142"/>
      <c r="T11" s="142"/>
    </row>
    <row r="12" spans="1:20" ht="39.950000000000003" customHeight="1">
      <c r="B12" s="695">
        <v>9</v>
      </c>
      <c r="C12" s="696" t="s">
        <v>163</v>
      </c>
      <c r="D12" s="706">
        <v>219835.41</v>
      </c>
      <c r="E12" s="698">
        <f>'Asset Register'!H93</f>
        <v>222288.29</v>
      </c>
      <c r="F12" s="699">
        <f t="shared" si="3"/>
        <v>219835</v>
      </c>
      <c r="G12" s="699">
        <f>E12</f>
        <v>222288</v>
      </c>
      <c r="H12" s="700"/>
      <c r="I12" s="700"/>
      <c r="J12" s="700"/>
      <c r="K12" s="701">
        <f>D12-E12</f>
        <v>-2452.88</v>
      </c>
      <c r="L12" s="701">
        <f>(D12-E12)/D12%</f>
        <v>-1.1200000000000001</v>
      </c>
      <c r="M12" s="700">
        <f>(D12-(D12*L12%))</f>
        <v>222297.57</v>
      </c>
      <c r="N12" s="692"/>
      <c r="O12" s="692"/>
      <c r="P12" s="692"/>
      <c r="Q12" s="692"/>
    </row>
    <row r="13" spans="1:20" ht="39.950000000000003" customHeight="1">
      <c r="B13" s="695">
        <v>10</v>
      </c>
      <c r="C13" s="696" t="s">
        <v>164</v>
      </c>
      <c r="D13" s="700"/>
      <c r="E13" s="692"/>
      <c r="F13" s="700"/>
      <c r="G13" s="700"/>
      <c r="H13" s="700"/>
      <c r="I13" s="700"/>
      <c r="J13" s="700"/>
      <c r="K13" s="700"/>
      <c r="L13" s="700"/>
      <c r="M13" s="700"/>
      <c r="N13" s="692"/>
      <c r="O13" s="692"/>
      <c r="P13" s="692"/>
      <c r="Q13" s="692"/>
    </row>
    <row r="14" spans="1:20" ht="18" customHeight="1">
      <c r="E14" s="142">
        <f ca="1">E11-E9</f>
        <v>0</v>
      </c>
      <c r="G14" s="142">
        <f ca="1">G11-G9</f>
        <v>0</v>
      </c>
    </row>
    <row r="15" spans="1:20" ht="18" customHeight="1">
      <c r="E15" s="142"/>
      <c r="F15" s="142"/>
    </row>
    <row r="16" spans="1:20" ht="18" customHeight="1">
      <c r="E16" s="142"/>
      <c r="F16" s="142"/>
      <c r="G16" s="142"/>
    </row>
    <row r="17" spans="5:6" ht="18" customHeight="1">
      <c r="E17" s="142"/>
    </row>
    <row r="18" spans="5:6" ht="18" customHeight="1"/>
    <row r="19" spans="5:6" ht="18" customHeight="1">
      <c r="F19" s="142"/>
    </row>
    <row r="20" spans="5:6" ht="18" customHeight="1"/>
    <row r="21" spans="5:6" ht="18" customHeight="1">
      <c r="F21" s="142"/>
    </row>
  </sheetData>
  <sheetProtection algorithmName="SHA-512" hashValue="zr0hD6HZeOL9kfGjPS5FSTBrntZzh7upoWtiy608VsvJ9bLu5tlzp29IXLr8nAeMTsZ/J5EA8/e0IdoeNVuFRg==" saltValue="3W/sa13o95OrNBik9tT7Rg==" spinCount="100000" sheet="1" objects="1" scenarios="1"/>
  <mergeCells count="4">
    <mergeCell ref="D1:E1"/>
    <mergeCell ref="M2:Q2"/>
    <mergeCell ref="F1:G1"/>
    <mergeCell ref="H2:J2"/>
  </mergeCells>
  <printOptions horizontalCentered="1" verticalCentered="1"/>
  <pageMargins left="0" right="0" top="0.78740157480314965" bottom="0.59055118110236227" header="0.51181102362204722" footer="0.51181102362204722"/>
  <pageSetup paperSize="9" scale="97" fitToHeight="0" orientation="landscape" horizontalDpi="300" verticalDpi="300" r:id="rId1"/>
  <headerFooter alignWithMargins="0">
    <oddHeader xml:space="preserve">&amp;CNassington Parish Council 
Reconciliation workings&amp;RAccounts to y/e 31 March 2021
</oddHeader>
    <oddFooter>&amp;R&amp;A</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Summary</vt:lpstr>
      <vt:lpstr>Receipts</vt:lpstr>
      <vt:lpstr>Payments</vt:lpstr>
      <vt:lpstr>Balances</vt:lpstr>
      <vt:lpstr>Audit Bank rec</vt:lpstr>
      <vt:lpstr>AED</vt:lpstr>
      <vt:lpstr>PockIt-Petty Cash</vt:lpstr>
      <vt:lpstr>Variances </vt:lpstr>
      <vt:lpstr>Audit reconciliation</vt:lpstr>
      <vt:lpstr>Asset Register</vt:lpstr>
      <vt:lpstr>Payments (2)</vt:lpstr>
      <vt:lpstr>VAT</vt:lpstr>
      <vt:lpstr>'Asset Register'!Print_Area</vt:lpstr>
      <vt:lpstr>'Audit Bank rec'!Print_Area</vt:lpstr>
      <vt:lpstr>'Audit reconciliation'!Print_Area</vt:lpstr>
      <vt:lpstr>Balances!Print_Area</vt:lpstr>
      <vt:lpstr>Payments!Print_Area</vt:lpstr>
      <vt:lpstr>'Payments (2)'!Print_Area</vt:lpstr>
      <vt:lpstr>Receipts!Print_Area</vt:lpstr>
      <vt:lpstr>Summary!Print_Area</vt:lpstr>
      <vt:lpstr>'Variances '!Print_Area</vt:lpstr>
      <vt:lpstr>VAT!Print_Area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Rodger</dc:creator>
  <cp:lastModifiedBy>Sarah Rodger Parish Council Clerk</cp:lastModifiedBy>
  <cp:lastPrinted>2022-04-07T12:58:57Z</cp:lastPrinted>
  <dcterms:created xsi:type="dcterms:W3CDTF">2000-08-20T11:12:38Z</dcterms:created>
  <dcterms:modified xsi:type="dcterms:W3CDTF">2023-10-05T17:40:31Z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-2139136541</vt:i4>
  </property>
  <property fmtid="{D5CDD505-2E9C-101B-9397-08002B2CF9AE}" pid="3" name="_EmailSubject">
    <vt:lpwstr>07 Nass accs 07_08</vt:lpwstr>
  </property>
  <property fmtid="{D5CDD505-2E9C-101B-9397-08002B2CF9AE}" pid="4" name="_AuthorEmail">
    <vt:lpwstr>sarah@therodgers.plus.com</vt:lpwstr>
  </property>
  <property fmtid="{D5CDD505-2E9C-101B-9397-08002B2CF9AE}" pid="5" name="_AuthorEmailDisplayName">
    <vt:lpwstr>Sarah Rodger</vt:lpwstr>
  </property>
  <property fmtid="{D5CDD505-2E9C-101B-9397-08002B2CF9AE}" pid="6" name="_PreviousAdHocReviewCycleID">
    <vt:i4>970015702</vt:i4>
  </property>
  <property fmtid="{D5CDD505-2E9C-101B-9397-08002B2CF9AE}" pid="7" name="_ReviewingToolsShownOnce">
    <vt:lpwstr/>
  </property>
  <property fmtid="{D5CDD505-2E9C-101B-9397-08002B2CF9AE}" pid="8" name="AddDocumentEventProcessedFirstTime">
    <vt:lpwstr>True</vt:lpwstr>
  </property>
  <property fmtid="{D5CDD505-2E9C-101B-9397-08002B2CF9AE}" pid="9" name="AddDocumentEventProcessedFileUniqueId">
    <vt:lpwstr>202943c6-9444-4823-a0ba-649e330bac14</vt:lpwstr>
  </property>
  <property fmtid="{D5CDD505-2E9C-101B-9397-08002B2CF9AE}" pid="10" name="LastObjectUpdateEventProcessedVersion">
    <vt:lpwstr>2.0</vt:lpwstr>
  </property>
</Properties>
</file>